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C:\Users\hp\Desktop\New folder (2)\"/>
    </mc:Choice>
  </mc:AlternateContent>
  <xr:revisionPtr revIDLastSave="0" documentId="13_ncr:1_{230545D4-A484-4F6C-A66D-A8EB8C44000E}" xr6:coauthVersionLast="47" xr6:coauthVersionMax="47" xr10:uidLastSave="{00000000-0000-0000-0000-000000000000}"/>
  <bookViews>
    <workbookView xWindow="-120" yWindow="-120" windowWidth="29040" windowHeight="17520" tabRatio="810" xr2:uid="{00000000-000D-0000-FFFF-FFFF00000000}"/>
  </bookViews>
  <sheets>
    <sheet name="ارزیابی املاک" sheetId="8" r:id="rId1"/>
    <sheet name="محاسبه سهم العرصه" sheetId="9" r:id="rId2"/>
    <sheet name="ضرایب اراضی " sheetId="5" r:id="rId3"/>
    <sheet name="ارزیابی اراضی-1" sheetId="4" r:id="rId4"/>
    <sheet name="ارزیابی اراضی-2" sheetId="6" r:id="rId5"/>
    <sheet name="سهم واحدهای مجتمع تعاونی" sheetId="7" r:id="rId6"/>
    <sheet name="محاسبه اجرت المثل" sheetId="11" r:id="rId7"/>
    <sheet name="ارزیابی واحد تجاری" sheetId="12" r:id="rId8"/>
    <sheet name="ارزیابی سرقفلی" sheetId="14" r:id="rId9"/>
    <sheet name="ارزیابی جامع واحد تجاری" sheetId="13" r:id="rId10"/>
  </sheets>
  <definedNames>
    <definedName name="_ftn1" localSheetId="1">'محاسبه سهم العرصه'!$A$22</definedName>
    <definedName name="_ftn2" localSheetId="1">'محاسبه سهم العرصه'!#REF!</definedName>
    <definedName name="_xlnm.Print_Area" localSheetId="3">'ارزیابی اراضی-1'!$A$1:$N$22</definedName>
    <definedName name="_xlnm.Print_Area" localSheetId="4">'ارزیابی اراضی-2'!$A$1:$N$29</definedName>
    <definedName name="_xlnm.Print_Area" localSheetId="0">'ارزیابی املاک'!$A$1:$I$40</definedName>
    <definedName name="_xlnm.Print_Area" localSheetId="9">'ارزیابی جامع واحد تجاری'!$A$1:$O$53</definedName>
    <definedName name="_xlnm.Print_Area" localSheetId="8">'ارزیابی سرقفلی'!$A$1:$O$31</definedName>
    <definedName name="_xlnm.Print_Area" localSheetId="7">'ارزیابی واحد تجاری'!$A$1:$O$30</definedName>
    <definedName name="_xlnm.Print_Area" localSheetId="5">'سهم واحدهای مجتمع تعاونی'!$B$4:$I$53</definedName>
    <definedName name="_xlnm.Print_Area" localSheetId="2">'ضرایب اراضی '!$A$1:$O$27</definedName>
    <definedName name="_xlnm.Print_Area" localSheetId="6">'محاسبه اجرت المثل'!$B$3:$H$48</definedName>
    <definedName name="_xlnm.Print_Area" localSheetId="1">'محاسبه سهم العرصه'!$A$1:$H$16</definedName>
    <definedName name="Z_2AB27FB0_6750_413F_B436_DA6A7082F863_.wvu.PrintArea" localSheetId="3" hidden="1">'ارزیابی اراضی-1'!$A$1:$N$22</definedName>
    <definedName name="Z_2AB27FB0_6750_413F_B436_DA6A7082F863_.wvu.PrintArea" localSheetId="4" hidden="1">'ارزیابی اراضی-2'!$A$1:$N$29</definedName>
    <definedName name="Z_2AB27FB0_6750_413F_B436_DA6A7082F863_.wvu.PrintArea" localSheetId="0" hidden="1">'ارزیابی املاک'!$A$1:$I$40</definedName>
    <definedName name="Z_2AB27FB0_6750_413F_B436_DA6A7082F863_.wvu.PrintArea" localSheetId="9" hidden="1">'ارزیابی جامع واحد تجاری'!$A$1:$O$53</definedName>
    <definedName name="Z_2AB27FB0_6750_413F_B436_DA6A7082F863_.wvu.PrintArea" localSheetId="8" hidden="1">'ارزیابی سرقفلی'!$A$1:$O$31</definedName>
    <definedName name="Z_2AB27FB0_6750_413F_B436_DA6A7082F863_.wvu.PrintArea" localSheetId="7" hidden="1">'ارزیابی واحد تجاری'!$A$1:$O$30</definedName>
    <definedName name="Z_2AB27FB0_6750_413F_B436_DA6A7082F863_.wvu.PrintArea" localSheetId="5" hidden="1">'سهم واحدهای مجتمع تعاونی'!$B$4:$I$53</definedName>
    <definedName name="Z_2AB27FB0_6750_413F_B436_DA6A7082F863_.wvu.PrintArea" localSheetId="2" hidden="1">'ضرایب اراضی '!$A$1:$O$27</definedName>
    <definedName name="Z_2AB27FB0_6750_413F_B436_DA6A7082F863_.wvu.PrintArea" localSheetId="6" hidden="1">'محاسبه اجرت المثل'!$B$3:$H$48</definedName>
  </definedNames>
  <calcPr calcId="191029"/>
  <customWorkbookViews>
    <customWorkbookView name="01" guid="{2AB27FB0-6750-413F-B436-DA6A7082F863}" maximized="1" xWindow="-8" yWindow="-8" windowWidth="1936" windowHeight="1168" tabRatio="752" activeSheetId="8"/>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45" i="13" l="1"/>
  <c r="O39" i="13"/>
  <c r="O23" i="13"/>
  <c r="O24" i="13"/>
  <c r="O22" i="13"/>
  <c r="O29" i="14"/>
  <c r="O28" i="14"/>
  <c r="E10" i="14"/>
  <c r="E9" i="14"/>
  <c r="E8" i="14"/>
  <c r="O8" i="14" s="1"/>
  <c r="O19" i="14" s="1"/>
  <c r="E7" i="14"/>
  <c r="O7" i="14" s="1"/>
  <c r="O17" i="14" s="1"/>
  <c r="E6" i="14"/>
  <c r="O6" i="14" s="1"/>
  <c r="O15" i="14" s="1"/>
  <c r="I27" i="14"/>
  <c r="G27" i="14"/>
  <c r="D27" i="14"/>
  <c r="C27" i="14"/>
  <c r="I26" i="14"/>
  <c r="N26" i="14" s="1"/>
  <c r="G26" i="14"/>
  <c r="I20" i="14"/>
  <c r="G20" i="14"/>
  <c r="D20" i="14"/>
  <c r="C20" i="14"/>
  <c r="I19" i="14"/>
  <c r="G19" i="14"/>
  <c r="I18" i="14"/>
  <c r="G18" i="14"/>
  <c r="D18" i="14"/>
  <c r="C18" i="14"/>
  <c r="I17" i="14"/>
  <c r="G17" i="14"/>
  <c r="I16" i="14"/>
  <c r="G16" i="14"/>
  <c r="E16" i="14"/>
  <c r="D16" i="14"/>
  <c r="C16" i="14"/>
  <c r="I15" i="14"/>
  <c r="G15" i="14"/>
  <c r="N15" i="14" s="1"/>
  <c r="N17" i="14" l="1"/>
  <c r="E18" i="14"/>
  <c r="N19" i="14"/>
  <c r="E20" i="14"/>
  <c r="N20" i="14" s="1"/>
  <c r="O20" i="14" s="1"/>
  <c r="E27" i="14"/>
  <c r="N18" i="14"/>
  <c r="O18" i="14" s="1"/>
  <c r="N27" i="14"/>
  <c r="N16" i="14"/>
  <c r="O16" i="14" s="1"/>
  <c r="O22" i="14" l="1"/>
  <c r="O21" i="14"/>
  <c r="O26" i="14"/>
  <c r="O31" i="14" l="1"/>
  <c r="O27" i="14"/>
  <c r="P20" i="14"/>
  <c r="P18" i="14"/>
  <c r="P16" i="14"/>
  <c r="G9" i="9" l="1"/>
  <c r="G10" i="9"/>
  <c r="G11" i="9"/>
  <c r="G12" i="9"/>
  <c r="G13" i="9"/>
  <c r="G14" i="9"/>
  <c r="G15" i="9"/>
  <c r="G8" i="9"/>
  <c r="I44" i="13"/>
  <c r="G44" i="13"/>
  <c r="D44" i="13"/>
  <c r="C44" i="13"/>
  <c r="I43" i="13"/>
  <c r="G43" i="13"/>
  <c r="N43" i="13" s="1"/>
  <c r="I36" i="13"/>
  <c r="G36" i="13"/>
  <c r="D36" i="13"/>
  <c r="C36" i="13"/>
  <c r="I35" i="13"/>
  <c r="G35" i="13"/>
  <c r="N35" i="13" s="1"/>
  <c r="I34" i="13"/>
  <c r="G34" i="13"/>
  <c r="D34" i="13"/>
  <c r="C34" i="13"/>
  <c r="I33" i="13"/>
  <c r="G33" i="13"/>
  <c r="N33" i="13" s="1"/>
  <c r="I32" i="13"/>
  <c r="G32" i="13"/>
  <c r="D32" i="13"/>
  <c r="C32" i="13"/>
  <c r="I31" i="13"/>
  <c r="G31" i="13"/>
  <c r="N31" i="13" s="1"/>
  <c r="N26" i="13"/>
  <c r="N25" i="13"/>
  <c r="E44" i="13" s="1"/>
  <c r="N24" i="13"/>
  <c r="E36" i="13" s="1"/>
  <c r="E24" i="13"/>
  <c r="N23" i="13"/>
  <c r="N22" i="13"/>
  <c r="F17" i="13"/>
  <c r="G17" i="13" s="1"/>
  <c r="F16" i="13"/>
  <c r="G16" i="13" s="1"/>
  <c r="G15" i="13"/>
  <c r="O31" i="13" s="1"/>
  <c r="F15" i="13"/>
  <c r="G6" i="13"/>
  <c r="I27" i="12"/>
  <c r="G27" i="12"/>
  <c r="E27" i="12"/>
  <c r="D27" i="12"/>
  <c r="C27" i="12"/>
  <c r="I26" i="12"/>
  <c r="N26" i="12" s="1"/>
  <c r="G26" i="12"/>
  <c r="I20" i="12"/>
  <c r="G20" i="12"/>
  <c r="D20" i="12"/>
  <c r="C20" i="12"/>
  <c r="I19" i="12"/>
  <c r="G19" i="12"/>
  <c r="N19" i="12" s="1"/>
  <c r="I18" i="12"/>
  <c r="G18" i="12"/>
  <c r="E18" i="12"/>
  <c r="D18" i="12"/>
  <c r="C18" i="12"/>
  <c r="I17" i="12"/>
  <c r="G17" i="12"/>
  <c r="N17" i="12" s="1"/>
  <c r="I16" i="12"/>
  <c r="G16" i="12"/>
  <c r="E16" i="12"/>
  <c r="D16" i="12"/>
  <c r="C16" i="12"/>
  <c r="I15" i="12"/>
  <c r="G15" i="12"/>
  <c r="N15" i="12" s="1"/>
  <c r="O8" i="12"/>
  <c r="O19" i="12" s="1"/>
  <c r="E8" i="12"/>
  <c r="E20" i="12" s="1"/>
  <c r="O7" i="12"/>
  <c r="O17" i="12" s="1"/>
  <c r="O6" i="12"/>
  <c r="O15" i="12" s="1"/>
  <c r="N16" i="12" l="1"/>
  <c r="O16" i="12" s="1"/>
  <c r="N18" i="12"/>
  <c r="O18" i="12" s="1"/>
  <c r="N27" i="12"/>
  <c r="E32" i="13"/>
  <c r="N32" i="13" s="1"/>
  <c r="O32" i="13" s="1"/>
  <c r="N44" i="13"/>
  <c r="E34" i="13"/>
  <c r="N34" i="13" s="1"/>
  <c r="G16" i="9"/>
  <c r="O33" i="13"/>
  <c r="H16" i="13"/>
  <c r="H17" i="13"/>
  <c r="O35" i="13"/>
  <c r="N36" i="13"/>
  <c r="H15" i="13"/>
  <c r="N20" i="12"/>
  <c r="O20" i="12" s="1"/>
  <c r="O36" i="13" l="1"/>
  <c r="O34" i="13"/>
  <c r="O22" i="12"/>
  <c r="O21" i="12"/>
  <c r="O26" i="12"/>
  <c r="O27" i="12" s="1"/>
  <c r="H12" i="9"/>
  <c r="H8" i="9"/>
  <c r="H13" i="9"/>
  <c r="H14" i="9"/>
  <c r="H10" i="9"/>
  <c r="H11" i="9"/>
  <c r="H15" i="9"/>
  <c r="H9" i="9"/>
  <c r="O43" i="13"/>
  <c r="O44" i="13" s="1"/>
  <c r="O46" i="13" s="1"/>
  <c r="O38" i="13"/>
  <c r="O37" i="13"/>
  <c r="P16" i="12" l="1"/>
  <c r="P20" i="12"/>
  <c r="P18" i="12"/>
  <c r="O28" i="12"/>
  <c r="O30" i="12" s="1"/>
  <c r="O49" i="13"/>
  <c r="O51" i="13" s="1"/>
  <c r="O53" i="13" s="1"/>
  <c r="H16" i="9"/>
  <c r="P34" i="13"/>
  <c r="P32" i="13"/>
  <c r="P36" i="13"/>
  <c r="O47" i="13"/>
  <c r="O48" i="13"/>
  <c r="O50" i="13" l="1"/>
  <c r="O52" i="13" s="1"/>
  <c r="G47" i="11" l="1"/>
  <c r="H47" i="11" s="1"/>
  <c r="F46" i="11"/>
  <c r="G46" i="11" s="1"/>
  <c r="H46" i="11" s="1"/>
  <c r="D4" i="11"/>
  <c r="G1" i="11"/>
  <c r="D1" i="11"/>
  <c r="F45" i="11" l="1"/>
  <c r="F44" i="11" l="1"/>
  <c r="G45" i="11"/>
  <c r="H45" i="11" s="1"/>
  <c r="I52" i="7"/>
  <c r="J52" i="7" s="1"/>
  <c r="J51" i="7"/>
  <c r="I51" i="7"/>
  <c r="I50" i="7"/>
  <c r="J50" i="7" s="1"/>
  <c r="I49" i="7"/>
  <c r="J49" i="7" s="1"/>
  <c r="I48" i="7"/>
  <c r="J48" i="7" s="1"/>
  <c r="J47" i="7"/>
  <c r="I47" i="7"/>
  <c r="I46" i="7"/>
  <c r="J46" i="7" s="1"/>
  <c r="I45" i="7"/>
  <c r="J45" i="7" s="1"/>
  <c r="I44" i="7"/>
  <c r="J44" i="7" s="1"/>
  <c r="J43" i="7"/>
  <c r="I43" i="7"/>
  <c r="I42" i="7"/>
  <c r="J42" i="7" s="1"/>
  <c r="I41" i="7"/>
  <c r="J41" i="7" s="1"/>
  <c r="I40" i="7"/>
  <c r="J40" i="7" s="1"/>
  <c r="J39" i="7"/>
  <c r="I39" i="7"/>
  <c r="I38" i="7"/>
  <c r="J38" i="7" s="1"/>
  <c r="I37" i="7"/>
  <c r="J37" i="7" s="1"/>
  <c r="I36" i="7"/>
  <c r="J36" i="7" s="1"/>
  <c r="J35" i="7"/>
  <c r="I35" i="7"/>
  <c r="I34" i="7"/>
  <c r="J34" i="7" s="1"/>
  <c r="I33" i="7"/>
  <c r="J33" i="7" s="1"/>
  <c r="I32" i="7"/>
  <c r="J32" i="7" s="1"/>
  <c r="J31" i="7"/>
  <c r="I31" i="7"/>
  <c r="I30" i="7"/>
  <c r="J30" i="7" s="1"/>
  <c r="I29" i="7"/>
  <c r="J29" i="7" s="1"/>
  <c r="I28" i="7"/>
  <c r="J28" i="7" s="1"/>
  <c r="J27" i="7"/>
  <c r="I27" i="7"/>
  <c r="I26" i="7"/>
  <c r="J26" i="7" s="1"/>
  <c r="I25" i="7"/>
  <c r="J25" i="7" s="1"/>
  <c r="I24" i="7"/>
  <c r="J24" i="7" s="1"/>
  <c r="J23" i="7"/>
  <c r="I23" i="7"/>
  <c r="I22" i="7"/>
  <c r="J22" i="7" s="1"/>
  <c r="I21" i="7"/>
  <c r="J21" i="7" s="1"/>
  <c r="I20" i="7"/>
  <c r="J20" i="7" s="1"/>
  <c r="J19" i="7"/>
  <c r="I19" i="7"/>
  <c r="I18" i="7"/>
  <c r="J18" i="7" s="1"/>
  <c r="I17" i="7"/>
  <c r="J17" i="7" s="1"/>
  <c r="I16" i="7"/>
  <c r="J16" i="7" s="1"/>
  <c r="J15" i="7"/>
  <c r="I15" i="7"/>
  <c r="I14" i="7"/>
  <c r="J14" i="7" s="1"/>
  <c r="I13" i="7"/>
  <c r="J13" i="7" s="1"/>
  <c r="I12" i="7"/>
  <c r="J12" i="7" s="1"/>
  <c r="J11" i="7"/>
  <c r="I11" i="7"/>
  <c r="I10" i="7"/>
  <c r="J10" i="7" s="1"/>
  <c r="I9" i="7"/>
  <c r="J9" i="7" s="1"/>
  <c r="I8" i="7"/>
  <c r="J8" i="7" s="1"/>
  <c r="K8" i="7" s="1"/>
  <c r="J7" i="7"/>
  <c r="I7" i="7"/>
  <c r="I6" i="7"/>
  <c r="J6" i="7" s="1"/>
  <c r="I5" i="7"/>
  <c r="J5" i="7" s="1"/>
  <c r="G44" i="11" l="1"/>
  <c r="H44" i="11" s="1"/>
  <c r="F43" i="11"/>
  <c r="K5" i="7"/>
  <c r="J53" i="7"/>
  <c r="K11" i="7"/>
  <c r="K18" i="7"/>
  <c r="K21" i="7"/>
  <c r="K24" i="7"/>
  <c r="K27" i="7"/>
  <c r="K34" i="7"/>
  <c r="K37" i="7"/>
  <c r="K40" i="7"/>
  <c r="K43" i="7"/>
  <c r="K50" i="7"/>
  <c r="K6" i="7"/>
  <c r="K9" i="7"/>
  <c r="K12" i="7"/>
  <c r="K15" i="7"/>
  <c r="K22" i="7"/>
  <c r="K25" i="7"/>
  <c r="K28" i="7"/>
  <c r="K31" i="7"/>
  <c r="K38" i="7"/>
  <c r="K41" i="7"/>
  <c r="K44" i="7"/>
  <c r="K47" i="7"/>
  <c r="K10" i="7"/>
  <c r="K13" i="7"/>
  <c r="K16" i="7"/>
  <c r="K19" i="7"/>
  <c r="K26" i="7"/>
  <c r="K29" i="7"/>
  <c r="K32" i="7"/>
  <c r="K35" i="7"/>
  <c r="K42" i="7"/>
  <c r="K45" i="7"/>
  <c r="K48" i="7"/>
  <c r="K51" i="7"/>
  <c r="K7" i="7"/>
  <c r="K14" i="7"/>
  <c r="K17" i="7"/>
  <c r="K20" i="7"/>
  <c r="K23" i="7"/>
  <c r="K30" i="7"/>
  <c r="K33" i="7"/>
  <c r="K36" i="7"/>
  <c r="K39" i="7"/>
  <c r="K46" i="7"/>
  <c r="K49" i="7"/>
  <c r="K52" i="7"/>
  <c r="I53" i="7"/>
  <c r="M25" i="6"/>
  <c r="J10" i="6"/>
  <c r="D10" i="6"/>
  <c r="N15" i="6"/>
  <c r="N17" i="6"/>
  <c r="N19" i="6"/>
  <c r="J8" i="6"/>
  <c r="J7" i="6"/>
  <c r="D7" i="6"/>
  <c r="D8" i="6" s="1"/>
  <c r="J6" i="6"/>
  <c r="H13" i="4"/>
  <c r="M18" i="6"/>
  <c r="M16" i="6"/>
  <c r="M14" i="6"/>
  <c r="J25" i="6"/>
  <c r="J15" i="6"/>
  <c r="J17" i="6"/>
  <c r="I25" i="6"/>
  <c r="I15" i="6"/>
  <c r="E25" i="6"/>
  <c r="E19" i="6"/>
  <c r="G43" i="11" l="1"/>
  <c r="H43" i="11" s="1"/>
  <c r="F42" i="11"/>
  <c r="K53" i="7"/>
  <c r="N20" i="6"/>
  <c r="G42" i="11" l="1"/>
  <c r="H42" i="11" s="1"/>
  <c r="F41" i="11"/>
  <c r="M24" i="6"/>
  <c r="E17" i="6"/>
  <c r="E15" i="6"/>
  <c r="E17" i="4"/>
  <c r="E15" i="4"/>
  <c r="E13" i="4"/>
  <c r="G41" i="11" l="1"/>
  <c r="H41" i="11" s="1"/>
  <c r="F40" i="11"/>
  <c r="J19" i="6"/>
  <c r="I19" i="6"/>
  <c r="N18" i="6"/>
  <c r="I17" i="6"/>
  <c r="N16" i="6"/>
  <c r="N14" i="6"/>
  <c r="J9" i="6"/>
  <c r="D9" i="6"/>
  <c r="G40" i="11" l="1"/>
  <c r="H40" i="11" s="1"/>
  <c r="F39" i="11"/>
  <c r="H19" i="6"/>
  <c r="M19" i="6" s="1"/>
  <c r="H15" i="6"/>
  <c r="M15" i="6" s="1"/>
  <c r="H25" i="6"/>
  <c r="H17" i="6"/>
  <c r="M17" i="6" s="1"/>
  <c r="G39" i="11" l="1"/>
  <c r="H39" i="11" s="1"/>
  <c r="F38" i="11"/>
  <c r="N21" i="6"/>
  <c r="N16" i="4"/>
  <c r="N14" i="4"/>
  <c r="I13" i="4"/>
  <c r="N12" i="4"/>
  <c r="M14" i="4"/>
  <c r="M16" i="4"/>
  <c r="M12" i="4"/>
  <c r="J17" i="4"/>
  <c r="J13" i="4"/>
  <c r="J15" i="4"/>
  <c r="I17" i="4"/>
  <c r="I15" i="4"/>
  <c r="J8" i="4"/>
  <c r="J6" i="4"/>
  <c r="H15" i="4" s="1"/>
  <c r="J7" i="4"/>
  <c r="J5" i="4"/>
  <c r="D6" i="4"/>
  <c r="D7" i="4" s="1"/>
  <c r="D8" i="4" s="1"/>
  <c r="G38" i="11" l="1"/>
  <c r="H38" i="11" s="1"/>
  <c r="F37" i="11"/>
  <c r="N24" i="6"/>
  <c r="O17" i="6"/>
  <c r="O19" i="6"/>
  <c r="O15" i="6"/>
  <c r="H17" i="4"/>
  <c r="M17" i="4" s="1"/>
  <c r="N17" i="4" s="1"/>
  <c r="M15" i="4"/>
  <c r="N15" i="4" s="1"/>
  <c r="M13" i="4"/>
  <c r="N13" i="4" s="1"/>
  <c r="F36" i="11" l="1"/>
  <c r="G37" i="11"/>
  <c r="H37" i="11" s="1"/>
  <c r="N25" i="6"/>
  <c r="N26" i="6" s="1"/>
  <c r="N27" i="6" s="1"/>
  <c r="N29" i="6" s="1"/>
  <c r="N19" i="4"/>
  <c r="N18" i="4"/>
  <c r="N20" i="4" s="1"/>
  <c r="N22" i="4" s="1"/>
  <c r="G36" i="11" l="1"/>
  <c r="H36" i="11" s="1"/>
  <c r="F35" i="11"/>
  <c r="O13" i="4"/>
  <c r="O15" i="4"/>
  <c r="O17" i="4"/>
  <c r="G35" i="11" l="1"/>
  <c r="H35" i="11" s="1"/>
  <c r="F34" i="11"/>
  <c r="G34" i="11" l="1"/>
  <c r="H34" i="11" s="1"/>
  <c r="F33" i="11"/>
  <c r="G33" i="11" l="1"/>
  <c r="H33" i="11" s="1"/>
  <c r="F32" i="11"/>
  <c r="G32" i="11" l="1"/>
  <c r="H32" i="11" s="1"/>
  <c r="F31" i="11"/>
  <c r="G31" i="11" l="1"/>
  <c r="H31" i="11" s="1"/>
  <c r="F30" i="11"/>
  <c r="G30" i="11" l="1"/>
  <c r="H30" i="11" s="1"/>
  <c r="F29" i="11"/>
  <c r="F28" i="11" l="1"/>
  <c r="G29" i="11"/>
  <c r="H29" i="11" s="1"/>
  <c r="G28" i="11" l="1"/>
  <c r="H28" i="11" s="1"/>
  <c r="F27" i="11"/>
  <c r="G27" i="11" l="1"/>
  <c r="H27" i="11" s="1"/>
  <c r="F26" i="11"/>
  <c r="G26" i="11" l="1"/>
  <c r="H26" i="11" s="1"/>
  <c r="F25" i="11"/>
  <c r="G25" i="11" l="1"/>
  <c r="H25" i="11" s="1"/>
  <c r="F24" i="11"/>
  <c r="G24" i="11" l="1"/>
  <c r="H24" i="11" s="1"/>
  <c r="F23" i="11"/>
  <c r="G23" i="11" l="1"/>
  <c r="H23" i="11" s="1"/>
  <c r="F22" i="11"/>
  <c r="G22" i="11" l="1"/>
  <c r="H22" i="11" s="1"/>
  <c r="F21" i="11"/>
  <c r="F20" i="11" l="1"/>
  <c r="G21" i="11"/>
  <c r="H21" i="11" s="1"/>
  <c r="G20" i="11" l="1"/>
  <c r="H20" i="11" s="1"/>
  <c r="F19" i="11"/>
  <c r="G19" i="11" l="1"/>
  <c r="H19" i="11" s="1"/>
  <c r="F18" i="11"/>
  <c r="G18" i="11" l="1"/>
  <c r="H18" i="11" s="1"/>
  <c r="F17" i="11"/>
  <c r="F16" i="11" l="1"/>
  <c r="G17" i="11"/>
  <c r="H17" i="11" s="1"/>
  <c r="G16" i="11" l="1"/>
  <c r="H16" i="11" s="1"/>
  <c r="F15" i="11"/>
  <c r="G15" i="11" l="1"/>
  <c r="H15" i="11" s="1"/>
  <c r="F14" i="11"/>
  <c r="G14" i="11" l="1"/>
  <c r="H14" i="11" s="1"/>
  <c r="F13" i="11"/>
  <c r="G13" i="11" l="1"/>
  <c r="H13" i="11" s="1"/>
  <c r="F12" i="11"/>
  <c r="F11" i="11" l="1"/>
  <c r="G12" i="11"/>
  <c r="H12" i="11" s="1"/>
  <c r="G11" i="11" l="1"/>
  <c r="H11" i="11" s="1"/>
  <c r="F10" i="11"/>
  <c r="G10" i="11" l="1"/>
  <c r="H10" i="11" s="1"/>
  <c r="F9" i="11"/>
  <c r="F8" i="11" l="1"/>
  <c r="G9" i="11"/>
  <c r="H9" i="11" s="1"/>
  <c r="G8" i="11" l="1"/>
  <c r="H8" i="11" s="1"/>
  <c r="F7" i="11"/>
  <c r="G7" i="11" l="1"/>
  <c r="H7" i="11" s="1"/>
  <c r="F6" i="11"/>
  <c r="G6" i="11" l="1"/>
  <c r="H6" i="11" s="1"/>
  <c r="F5" i="11"/>
  <c r="G5" i="11" l="1"/>
  <c r="H5" i="11" s="1"/>
  <c r="F4" i="11"/>
  <c r="G4" i="11" s="1"/>
  <c r="H4" i="11" s="1"/>
  <c r="H48"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hp01</author>
  </authors>
  <commentList>
    <comment ref="E3" authorId="0" shapeId="0" xr:uid="{BE29ED51-EA4E-4CA1-92D1-9B547E88CFF9}">
      <text>
        <r>
          <rPr>
            <b/>
            <sz val="9"/>
            <color indexed="81"/>
            <rFont val="Tahoma"/>
            <family val="2"/>
          </rPr>
          <t>بر اساس درصدهای ارائه شده در وحدت رویه اجرت المثل</t>
        </r>
      </text>
    </comment>
  </commentList>
</comments>
</file>

<file path=xl/sharedStrings.xml><?xml version="1.0" encoding="utf-8"?>
<sst xmlns="http://schemas.openxmlformats.org/spreadsheetml/2006/main" count="847" uniqueCount="428">
  <si>
    <t>ضریب مساحت</t>
  </si>
  <si>
    <t>ضریب شکل</t>
  </si>
  <si>
    <t>ضریب کل</t>
  </si>
  <si>
    <t>ضریب</t>
  </si>
  <si>
    <t xml:space="preserve">شرح </t>
  </si>
  <si>
    <t>کاربری</t>
  </si>
  <si>
    <t>تراکم</t>
  </si>
  <si>
    <t>شکل هندسی</t>
  </si>
  <si>
    <t>مرجع 1</t>
  </si>
  <si>
    <t>مرجع 2</t>
  </si>
  <si>
    <t>مرجع 3</t>
  </si>
  <si>
    <t>وضعیت</t>
  </si>
  <si>
    <t>تجاری مسکونی</t>
  </si>
  <si>
    <t>تجاری</t>
  </si>
  <si>
    <t>فرهنگی مذهبی</t>
  </si>
  <si>
    <t>اداری</t>
  </si>
  <si>
    <t>آموزشی</t>
  </si>
  <si>
    <t>صنعتی سبک</t>
  </si>
  <si>
    <t>ورزشی</t>
  </si>
  <si>
    <t>فضای سبز</t>
  </si>
  <si>
    <t>ضریب کاربری</t>
  </si>
  <si>
    <t>یک بر</t>
  </si>
  <si>
    <t>شش دانگ</t>
  </si>
  <si>
    <t>مشاع معلوم</t>
  </si>
  <si>
    <t>نوع مالکیت</t>
  </si>
  <si>
    <t>موقوفه معتبر</t>
  </si>
  <si>
    <t>سایر موقوفه ها</t>
  </si>
  <si>
    <t>مسکونی</t>
  </si>
  <si>
    <t>متوسط</t>
  </si>
  <si>
    <t>زیاد</t>
  </si>
  <si>
    <t>کم</t>
  </si>
  <si>
    <t>مساحت (مترمربع)</t>
  </si>
  <si>
    <t>عرض معبر (متر)</t>
  </si>
  <si>
    <t>نرمال (چهار گل)</t>
  </si>
  <si>
    <t>ضریب تراکم</t>
  </si>
  <si>
    <t>150-350%</t>
  </si>
  <si>
    <t>اقامتی</t>
  </si>
  <si>
    <t>110-130%</t>
  </si>
  <si>
    <t>120-200%</t>
  </si>
  <si>
    <t>60-70%</t>
  </si>
  <si>
    <t>درمانی و بهداشتی</t>
  </si>
  <si>
    <t>گردشگری و جهانگردی</t>
  </si>
  <si>
    <t>اداری انتظامی</t>
  </si>
  <si>
    <t>50-70%</t>
  </si>
  <si>
    <t>پارکینگ عمومی</t>
  </si>
  <si>
    <t>پارکینگ طبقاتی</t>
  </si>
  <si>
    <t>انبار</t>
  </si>
  <si>
    <t>بدون قابلیت تجاری</t>
  </si>
  <si>
    <t>با قابلیت تجاری</t>
  </si>
  <si>
    <t>غیرمزاحم</t>
  </si>
  <si>
    <t>85-110%</t>
  </si>
  <si>
    <t>70-90%</t>
  </si>
  <si>
    <t>40-50%</t>
  </si>
  <si>
    <t>پست برق کوچک</t>
  </si>
  <si>
    <t>پارک عمومی</t>
  </si>
  <si>
    <t>نظامی (پادگان)</t>
  </si>
  <si>
    <t>بدون ضریب تقلیل مساحت</t>
  </si>
  <si>
    <t>با توجه به شرایط منطقه</t>
  </si>
  <si>
    <t>پست گاز کوچک</t>
  </si>
  <si>
    <t>در املاک شخصی</t>
  </si>
  <si>
    <t>70-85%</t>
  </si>
  <si>
    <t>تجهیزات شهری</t>
  </si>
  <si>
    <t>ضریب موقعیت جغرافیایی</t>
  </si>
  <si>
    <t>موقعیت</t>
  </si>
  <si>
    <t>غربی</t>
  </si>
  <si>
    <t>شرقی</t>
  </si>
  <si>
    <t>شمالی</t>
  </si>
  <si>
    <t>جنوبی</t>
  </si>
  <si>
    <t>ضریب ابعاد (حاشیه)</t>
  </si>
  <si>
    <t>ضریب دسترسی</t>
  </si>
  <si>
    <t>دو بر (دو ممر)</t>
  </si>
  <si>
    <t>دو نبش شمالی</t>
  </si>
  <si>
    <t>105-110%</t>
  </si>
  <si>
    <t>دو نبش جنوبی</t>
  </si>
  <si>
    <t>110-115%</t>
  </si>
  <si>
    <t>سه نبش</t>
  </si>
  <si>
    <t>چهار نبش</t>
  </si>
  <si>
    <t>فاقد راه مستقل با حق عبور از ملک مجاور</t>
  </si>
  <si>
    <t>115-120%</t>
  </si>
  <si>
    <t>کوچه بن بست (بدون امکان تردد خودرو)</t>
  </si>
  <si>
    <t>قولنامه (سند عادی)</t>
  </si>
  <si>
    <t>موقوفه آستان قدس</t>
  </si>
  <si>
    <t>ضریب نوع مالکیت</t>
  </si>
  <si>
    <t>ملکی (طلق)</t>
  </si>
  <si>
    <t>ضریب میزان مالکیت</t>
  </si>
  <si>
    <t>میزان مالکیت</t>
  </si>
  <si>
    <t>اگر عرض خیابان ها با هم برابر نبود، باید ضریب تعدیل هم اعمال گردد.</t>
  </si>
  <si>
    <t>حاشیه خیابان اصلی</t>
  </si>
  <si>
    <t>نسبت به قیمت املاک مشابه پشت جبهه</t>
  </si>
  <si>
    <t>ارزش املاک حاشیه گران ترین خیابان منشعب شده از سمت ملک</t>
  </si>
  <si>
    <t>حاشیه زمین (متر)</t>
  </si>
  <si>
    <t>عمق زمین (متر)</t>
  </si>
  <si>
    <t>جنوبی (مستغلاتی)</t>
  </si>
  <si>
    <t>موقعیت جغرافیایی</t>
  </si>
  <si>
    <t>دسترسی</t>
  </si>
  <si>
    <t>زمین مورد ارزیابی</t>
  </si>
  <si>
    <t>؟؟؟</t>
  </si>
  <si>
    <t>ارزیابی 1</t>
  </si>
  <si>
    <t>ارزیابی 2</t>
  </si>
  <si>
    <t>ارزیابی 3</t>
  </si>
  <si>
    <t>ضریب موقعیت</t>
  </si>
  <si>
    <t>ضریب عرض معبر</t>
  </si>
  <si>
    <t>ضریب سایر عوامل</t>
  </si>
  <si>
    <t>سایر عوامل موثر</t>
  </si>
  <si>
    <t>-</t>
  </si>
  <si>
    <t>ضریب عرف کارشناسی</t>
  </si>
  <si>
    <t>مبلغ با اعمال ضریب عرف کارشناسی - ریال</t>
  </si>
  <si>
    <t>مشخصات قطعات زمین</t>
  </si>
  <si>
    <t>قیمت مترمربعی (ریال)</t>
  </si>
  <si>
    <t>ارزش مترمربعی (ریال)</t>
  </si>
  <si>
    <t>ارزش زمین مورد ارزیابی - ریال</t>
  </si>
  <si>
    <r>
      <t xml:space="preserve">موضوع کارشناسی: □ قیمت پایه مزایده       </t>
    </r>
    <r>
      <rPr>
        <b/>
        <sz val="14"/>
        <color theme="1"/>
        <rFont val="Times New Roman"/>
        <family val="1"/>
      </rPr>
      <t>■</t>
    </r>
    <r>
      <rPr>
        <b/>
        <sz val="14"/>
        <color theme="1"/>
        <rFont val="B Mitra"/>
        <charset val="178"/>
      </rPr>
      <t xml:space="preserve"> وثیقه ملکی برای مراجع قضایی      □ وثیقه ملکی جهت اخذ تسهیلات بانکی       □ ارزیابی جهت مقاصد شخصی</t>
    </r>
  </si>
  <si>
    <t>میانگین ارزش مترمربعی زمین مورد ارزیابی - ریال</t>
  </si>
  <si>
    <t>انحراف معیار ارزش مترمربعی زمین مورد ارزیابی</t>
  </si>
  <si>
    <t>کنترل داده پرت</t>
  </si>
  <si>
    <t>تراکم (درصد)</t>
  </si>
  <si>
    <t>میزان تراکم</t>
  </si>
  <si>
    <t>کاربری زمین</t>
  </si>
  <si>
    <t>توضیح</t>
  </si>
  <si>
    <t>پیشنهادی</t>
  </si>
  <si>
    <t>با توجه به محل و نوع استفاده</t>
  </si>
  <si>
    <t>65-120%</t>
  </si>
  <si>
    <t>حاشیه میدان و سر چهارراه پرتردد</t>
  </si>
  <si>
    <t>با توجه به شرایط منطقه و مقیاس تجاری</t>
  </si>
  <si>
    <t>ارزش هر نوع کاربری بستگی به منافع آن دارد. لذا باید در محل وقوع ملک تحقیق نمود که این نوع کاربری چقدر در منطقه تقاضا دارد و منافع آن چگونه است.</t>
  </si>
  <si>
    <t>مشاع غیر معلوم - با بیشتر از 10 شریک</t>
  </si>
  <si>
    <t>مشاع غیر معلوم - با کمتر از 10 شریک</t>
  </si>
  <si>
    <t>متعارف (قواره معیار )</t>
  </si>
  <si>
    <t>متعارف 1</t>
  </si>
  <si>
    <t>متعارف 2</t>
  </si>
  <si>
    <t>متعارف 3</t>
  </si>
  <si>
    <t>میانگین ارزش مترمربعی زمین متعارف - ریال</t>
  </si>
  <si>
    <t>انحراف معیار ارزش مترمربعی زمین متعارف</t>
  </si>
  <si>
    <t>استخراج ارزش زمین مورد ارزیابی</t>
  </si>
  <si>
    <t>متعارف</t>
  </si>
  <si>
    <t>ارزش مترمربعی زمین مورد ارزیابی - ریال</t>
  </si>
  <si>
    <t>موقوفه اداره اوقاف</t>
  </si>
  <si>
    <t>دو بر</t>
  </si>
  <si>
    <t>مورد ارزیابی</t>
  </si>
  <si>
    <t>مقایسه با قیمت منطقه</t>
  </si>
  <si>
    <t>استخراج ارزش زمین متعارف منطقه</t>
  </si>
  <si>
    <t>قطعه زمین</t>
  </si>
  <si>
    <t>کل هزینه های ساخت مجتمع</t>
  </si>
  <si>
    <t>تومان</t>
  </si>
  <si>
    <t>طبق تایید کارشناس رسمی رشته حسابداری و حسابرسی</t>
  </si>
  <si>
    <t>نام واحد</t>
  </si>
  <si>
    <t>بلوک</t>
  </si>
  <si>
    <t>طبقه</t>
  </si>
  <si>
    <t>واحد</t>
  </si>
  <si>
    <t>ضریب بلوک</t>
  </si>
  <si>
    <t>ضریب طبقه</t>
  </si>
  <si>
    <t>ضریب نهایی واحد</t>
  </si>
  <si>
    <t>سهم واحد از هزینه ها - تومان</t>
  </si>
  <si>
    <t>بالاسری واحد - تومان</t>
  </si>
  <si>
    <t>A11</t>
  </si>
  <si>
    <t>A</t>
  </si>
  <si>
    <t>A12</t>
  </si>
  <si>
    <t>A13</t>
  </si>
  <si>
    <t>A14</t>
  </si>
  <si>
    <t>A21</t>
  </si>
  <si>
    <t>A22</t>
  </si>
  <si>
    <t>A23</t>
  </si>
  <si>
    <t>A24</t>
  </si>
  <si>
    <t>A31</t>
  </si>
  <si>
    <t>A32</t>
  </si>
  <si>
    <t>A33</t>
  </si>
  <si>
    <t>A34</t>
  </si>
  <si>
    <t>B11</t>
  </si>
  <si>
    <t>B</t>
  </si>
  <si>
    <t>B12</t>
  </si>
  <si>
    <t>B13</t>
  </si>
  <si>
    <t>B14</t>
  </si>
  <si>
    <t>B21</t>
  </si>
  <si>
    <t>B22</t>
  </si>
  <si>
    <t>B23</t>
  </si>
  <si>
    <t>B24</t>
  </si>
  <si>
    <t>B31</t>
  </si>
  <si>
    <t>B32</t>
  </si>
  <si>
    <t>B33</t>
  </si>
  <si>
    <t>B34</t>
  </si>
  <si>
    <t>C11</t>
  </si>
  <si>
    <t>C</t>
  </si>
  <si>
    <t>C12</t>
  </si>
  <si>
    <t>C13</t>
  </si>
  <si>
    <t>C14</t>
  </si>
  <si>
    <t>C21</t>
  </si>
  <si>
    <t>C22</t>
  </si>
  <si>
    <t>C23</t>
  </si>
  <si>
    <t>C24</t>
  </si>
  <si>
    <t>C31</t>
  </si>
  <si>
    <t>C32</t>
  </si>
  <si>
    <t>C33</t>
  </si>
  <si>
    <t>C34</t>
  </si>
  <si>
    <t>D11</t>
  </si>
  <si>
    <t>D</t>
  </si>
  <si>
    <t>D12</t>
  </si>
  <si>
    <t>D13</t>
  </si>
  <si>
    <t>D14</t>
  </si>
  <si>
    <t>D21</t>
  </si>
  <si>
    <t>D22</t>
  </si>
  <si>
    <t>D23</t>
  </si>
  <si>
    <t>D24</t>
  </si>
  <si>
    <t>D31</t>
  </si>
  <si>
    <t>D33</t>
  </si>
  <si>
    <t>D34</t>
  </si>
  <si>
    <t>مجموع</t>
  </si>
  <si>
    <t>09122302733</t>
  </si>
  <si>
    <t>تلفن همراه:</t>
  </si>
  <si>
    <t>سایت:</t>
  </si>
  <si>
    <t>https://arzyaby.com</t>
  </si>
  <si>
    <t>نسخه : 01-1403</t>
  </si>
  <si>
    <t>فهرست مطالب</t>
  </si>
  <si>
    <t>2- ارزیابی اراضی غیرمزروعی  (روش 1)</t>
  </si>
  <si>
    <t>3- ارزیابی اراضی غیرمزروعی (روش 2)</t>
  </si>
  <si>
    <t>4- تعیین سهم واحدهای یک مجتمع تعاونی ساز</t>
  </si>
  <si>
    <t>1- محاسبه سهم العرصه واحد (قدر السهم واحد)</t>
  </si>
  <si>
    <t>ضرایب ارزیابی اراضی غیرمزروعی</t>
  </si>
  <si>
    <t>ارزیابی اراضی غیرمزروعی (روش 2: با استفاده از قواره معیار منطقه)</t>
  </si>
  <si>
    <t>ارزیابی اراضی غیرمزروعی (روش 1: بدون استفاده از قواره معیار منطقه)</t>
  </si>
  <si>
    <t>در این روش ابتدا قطعه زمین متعارف منطقه (قواره معیار منطقه) در مقابل هر یک از زمین های مرجع قرار داده شده و ارزش مترمربعی زمین متعارف استخراج می گردد. با توجه به کثرت زمین متعارف در منطقه، قیمت آن از تحقیقات محلی معلوم است. اگر ارزش محاسباتی زمین متعارف با قیمت به دست آمده از تحقیقات محلی نزدیک بود (اختلاف کمتر از 20 درصد)، نشان می دهد که اطلاعات کسب شده از منطقه معتبر است و سپس ارزش زمین مورد ارزیابی تعیین می گردد. در این محاسبات، مشخصات زمین متعارف حکم «واسطه» را دارد و تاثیری در محاسبات ندارد (اگر ابعاد زمین متعارف تغییر کند، نتیجه نهایی فرقی نمی کند).</t>
  </si>
  <si>
    <t>تعیین سهم آپارتمان های یک مجتمع تعاونی ساز (قسمت 2-16 کتاب ارزیابی املاک)</t>
  </si>
  <si>
    <t>محاسبه اجرت المثل  از تاریخ:</t>
  </si>
  <si>
    <t>تا تاریخ:</t>
  </si>
  <si>
    <t>فقط اجاره بهای ماهیانه در سال 1403 را داخل باکس زرد رنگ را  وارد کنید.</t>
  </si>
  <si>
    <t>سال</t>
  </si>
  <si>
    <t>تاریخ شروع</t>
  </si>
  <si>
    <t>تاریخ پایان</t>
  </si>
  <si>
    <t>تعداد ماه</t>
  </si>
  <si>
    <t>درصد از وحدت رویه</t>
  </si>
  <si>
    <t>اجاره ماهیانه - ریال</t>
  </si>
  <si>
    <t>اجاره ماهیانه رند شده - ریال</t>
  </si>
  <si>
    <t>اجاره سالانه رند شده - ریال</t>
  </si>
  <si>
    <t>1360/07/10</t>
  </si>
  <si>
    <t>1360/12/29</t>
  </si>
  <si>
    <t>1361/01/01</t>
  </si>
  <si>
    <t>1361/12/29</t>
  </si>
  <si>
    <t>1362/01/01</t>
  </si>
  <si>
    <t>1362/12/29</t>
  </si>
  <si>
    <t>1363/01/01</t>
  </si>
  <si>
    <t>1363/12/29</t>
  </si>
  <si>
    <t>1364/01/01</t>
  </si>
  <si>
    <t>1364/12/29</t>
  </si>
  <si>
    <t>1365/01/01</t>
  </si>
  <si>
    <t>1365/12/29</t>
  </si>
  <si>
    <t>1366/01/01</t>
  </si>
  <si>
    <t>1366/12/29</t>
  </si>
  <si>
    <t>1367/01/01</t>
  </si>
  <si>
    <t>1367/12/29</t>
  </si>
  <si>
    <t>1368/01/01</t>
  </si>
  <si>
    <t>1368/12/29</t>
  </si>
  <si>
    <t>1369/01/01</t>
  </si>
  <si>
    <t>1369/12/29</t>
  </si>
  <si>
    <t>1370/01/01</t>
  </si>
  <si>
    <t>1370/12/29</t>
  </si>
  <si>
    <t>1371/01/01</t>
  </si>
  <si>
    <t>1371/12/29</t>
  </si>
  <si>
    <t>1372/01/01</t>
  </si>
  <si>
    <t>1372/12/29</t>
  </si>
  <si>
    <t>1373/01/01</t>
  </si>
  <si>
    <t>1373/12/29</t>
  </si>
  <si>
    <t>1374/01/01</t>
  </si>
  <si>
    <t>1374/12/29</t>
  </si>
  <si>
    <t>1375/01/01</t>
  </si>
  <si>
    <t>1375/12/29</t>
  </si>
  <si>
    <t>1376/01/01</t>
  </si>
  <si>
    <t>1376/12/29</t>
  </si>
  <si>
    <t>1377/01/01</t>
  </si>
  <si>
    <t>1377/12/29</t>
  </si>
  <si>
    <t>1378/01/01</t>
  </si>
  <si>
    <t>1378/12/29</t>
  </si>
  <si>
    <t>1379/01/01</t>
  </si>
  <si>
    <t>1379/12/29</t>
  </si>
  <si>
    <t>1380/01/01</t>
  </si>
  <si>
    <t>1380/12/29</t>
  </si>
  <si>
    <t>1381/01/01</t>
  </si>
  <si>
    <t>1381/12/29</t>
  </si>
  <si>
    <t>1382/01/01</t>
  </si>
  <si>
    <t>1382/12/29</t>
  </si>
  <si>
    <t>1383/01/01</t>
  </si>
  <si>
    <t>1383/12/29</t>
  </si>
  <si>
    <t>1384/01/01</t>
  </si>
  <si>
    <t>1384/12/29</t>
  </si>
  <si>
    <t>1385/01/01</t>
  </si>
  <si>
    <t>1385/12/29</t>
  </si>
  <si>
    <t>1386/01/01</t>
  </si>
  <si>
    <t>1386/12/29</t>
  </si>
  <si>
    <t>1387/01/01</t>
  </si>
  <si>
    <t>1387/12/29</t>
  </si>
  <si>
    <t>1388/01/01</t>
  </si>
  <si>
    <t>1388/12/29</t>
  </si>
  <si>
    <t>1389/01/01</t>
  </si>
  <si>
    <t>1389/12/29</t>
  </si>
  <si>
    <t>1390/01/01</t>
  </si>
  <si>
    <t>1390/12/29</t>
  </si>
  <si>
    <t>1391/01/01</t>
  </si>
  <si>
    <t>1391/12/29</t>
  </si>
  <si>
    <t>1392/01/01</t>
  </si>
  <si>
    <t>1392/12/29</t>
  </si>
  <si>
    <t>1393/01/01</t>
  </si>
  <si>
    <t>1393/12/29</t>
  </si>
  <si>
    <t>1394/01/01</t>
  </si>
  <si>
    <t>1394/12/29</t>
  </si>
  <si>
    <t>1395/01/01</t>
  </si>
  <si>
    <t>1395/12/29</t>
  </si>
  <si>
    <t>1396/01/01</t>
  </si>
  <si>
    <t>1396/12/29</t>
  </si>
  <si>
    <t>1397/01/01</t>
  </si>
  <si>
    <t>1397/12/29</t>
  </si>
  <si>
    <t>1398/01/01</t>
  </si>
  <si>
    <t>1398/12/29</t>
  </si>
  <si>
    <t>1399/01/01</t>
  </si>
  <si>
    <t>1399/12/29</t>
  </si>
  <si>
    <t>1400/01/01</t>
  </si>
  <si>
    <t>1400/12/29</t>
  </si>
  <si>
    <t>1401/01/01</t>
  </si>
  <si>
    <t>1401/12/29</t>
  </si>
  <si>
    <t>1402/01/01</t>
  </si>
  <si>
    <t>1402/12/29</t>
  </si>
  <si>
    <t>1403/01/01</t>
  </si>
  <si>
    <t>1403/06/01</t>
  </si>
  <si>
    <t>اجرت المثل برای دوره زمانی موردنظر - ریال</t>
  </si>
  <si>
    <t>مشخصات مغازه ها</t>
  </si>
  <si>
    <t>مغازه</t>
  </si>
  <si>
    <t>عرض دهانه (متر)</t>
  </si>
  <si>
    <t>عمق (متر)</t>
  </si>
  <si>
    <t>ارتفاع (متر)</t>
  </si>
  <si>
    <t>مساحت طبق سند (مترمربع)</t>
  </si>
  <si>
    <t>طبقه قرارگیری</t>
  </si>
  <si>
    <t>تراز کف مغازه مثبت (بالاتر از پیاده رو)</t>
  </si>
  <si>
    <t>تراز کف مغازه منفی (پایین تر از پیاده رو)</t>
  </si>
  <si>
    <t>تعداد بر</t>
  </si>
  <si>
    <t>قیمت معاملاتی مغازه (ریال)</t>
  </si>
  <si>
    <t>قیمت مترمربعی مغازه (ریال)</t>
  </si>
  <si>
    <t>تعداد پله</t>
  </si>
  <si>
    <t>عرض راه پله (متر)</t>
  </si>
  <si>
    <t>همکف</t>
  </si>
  <si>
    <t>دو نبش</t>
  </si>
  <si>
    <t>مغازه معیار (متعارف)</t>
  </si>
  <si>
    <t>مغازه مورد ارزیابی</t>
  </si>
  <si>
    <t>استخراج ارزش مغازه معیار</t>
  </si>
  <si>
    <t>ضریب دهانه و عمق</t>
  </si>
  <si>
    <t>ضریب ارتفاع</t>
  </si>
  <si>
    <t>ضریب طبقه وقوع</t>
  </si>
  <si>
    <t>ضریب تعداد بر</t>
  </si>
  <si>
    <t>ارزش مترمربعی مغازه (ریال)</t>
  </si>
  <si>
    <t>ضریب تراز کف</t>
  </si>
  <si>
    <t>ضریب عرض راه پله</t>
  </si>
  <si>
    <t>مغازه معیار 1</t>
  </si>
  <si>
    <t>مغازه معیار 2</t>
  </si>
  <si>
    <t>مغازه معیار 3</t>
  </si>
  <si>
    <t>انحراف معیار ارزش مترمربعی مغازه معیار</t>
  </si>
  <si>
    <t>مغازه معیار (میانگین)</t>
  </si>
  <si>
    <t>ارزش مغازه مورد ارزیابی - ریال</t>
  </si>
  <si>
    <t>موضوع کارشناسی: □ قیمت پایه مزایده       □ وثیقه ملکی برای مراجع قضایی      □ وثیقه ملکی جهت اخذ تسهیلات بانکی       □ ارزیابی جهت مقاصد شخصی          □ تمکن مالی</t>
  </si>
  <si>
    <t>ارزش مغازه با اعمال ضریب عرف کارشناسی - ریال</t>
  </si>
  <si>
    <t>ضریب تبدیل مساحت مغازه طبق سند مالکیت (A) به مساحت خالص (An)</t>
  </si>
  <si>
    <t>طبق گام 1 فرآیند ارائه شده در قسمت 5-15 کتاب ارزیابی املاک</t>
  </si>
  <si>
    <t>سهم حق سرقفلی از قیمت مغازه طبق عرف حاکم در محل ملک  (مقدار پیش فرض 80 درصد و قابل تغییر)</t>
  </si>
  <si>
    <t>طبق گام 2 فرآیند ارائه شده در قسمت 5-15 کتاب ارزیابی املاک</t>
  </si>
  <si>
    <t>سهم حقوق مالکانه از قیمت مغازه (محاسبه شده بر مبنای ردیف بالا)</t>
  </si>
  <si>
    <t>ضریب سود ماهیانه مبلغ رهن طبق عرف بازار املاک محل (مقدار پیش فرض 3 درصد و قابل تغییر)</t>
  </si>
  <si>
    <t>طبق گام 3 فرآیند ارائه شده در قسمت 5-15 کتاب ارزیابی املاک</t>
  </si>
  <si>
    <t>ضریب اجاره بهای سالانه مغازه طبق عرف حاکم در محل ملک (مقدار پیش فرض 6 درصد و قابل تغییر)</t>
  </si>
  <si>
    <t>ارزش مترمربعی واحد مسکونی در محل - ریال</t>
  </si>
  <si>
    <t>طبق گام 13 فرآیند ارائه شده در قسمت 5-15 کتاب ارزیابی املاک</t>
  </si>
  <si>
    <t>حداقل اجاره بهای مغازه در محل - ریال</t>
  </si>
  <si>
    <t>طبق گام 16 فرآیند ارائه شده در قسمت 5-15 کتاب ارزیابی املاک</t>
  </si>
  <si>
    <t>اطلاعات به دست آمده از تحقیق میدانی</t>
  </si>
  <si>
    <t>اطلاعات بر مبنای محاسبات</t>
  </si>
  <si>
    <t>قیمت سرقفلی مغازه (ریال)</t>
  </si>
  <si>
    <t>اجاره بها و رهن مغازه</t>
  </si>
  <si>
    <t>ارزش سرقفلی مغازه (ریال)</t>
  </si>
  <si>
    <t>ارزش مغازه (ریال)</t>
  </si>
  <si>
    <t>اجاره بهای ماهیانه اعلامی (ریال)</t>
  </si>
  <si>
    <t>مبلغ رهن (ریال)</t>
  </si>
  <si>
    <t>اجاره بهای ماهیانه معادل (ریال)</t>
  </si>
  <si>
    <t>مساحت خالص مغازه (مترمربع)</t>
  </si>
  <si>
    <t>ارزش مترمربعی سرقفلی مغازه (ریال)</t>
  </si>
  <si>
    <t>استخراج ارزش سرقفلی مغازه معیار</t>
  </si>
  <si>
    <t>انحراف معیار ارزش مترمربعی سرقفلی مغازه معیار</t>
  </si>
  <si>
    <t>مغازه معیار</t>
  </si>
  <si>
    <t>ارزش حق سرقفلی مغازه مورد ارزیابی - ریال</t>
  </si>
  <si>
    <t>ارزش مترمربعی مغازه مورد ارزیابی - ریال</t>
  </si>
  <si>
    <t>کنترل با ارزش مترمربعی واحد مسکونی</t>
  </si>
  <si>
    <t>OK</t>
  </si>
  <si>
    <t>ارزش حقوق مالکانه پنج گانه مغازه مورد ارزیابی- ریال</t>
  </si>
  <si>
    <t>ضریب اجاره بهای سالانه</t>
  </si>
  <si>
    <t>اجاره بهای ماهیانه بدون پرداخت سرقفلی - ریال</t>
  </si>
  <si>
    <t>کنترل با حداقل اجاره بهای مغازه در محل</t>
  </si>
  <si>
    <t>اجاره بهای ماهیانه تحت حق سرقفلی - ریال</t>
  </si>
  <si>
    <t>نسبت اجاره بهای بدون پرداخت سرقفلی به تحت حق سرقفلی</t>
  </si>
  <si>
    <t>اجاره بهای 3 ساله تحت حق سرقفلی - ریال</t>
  </si>
  <si>
    <t>5- محاسبه اجرت المثل</t>
  </si>
  <si>
    <t>6- ارزیابی واحد تجاری</t>
  </si>
  <si>
    <t>این فایل های اکسل بر مبنای مطالب کتاب «ارزیابی املاک» نوشته دکتر علی سیفی و در جهت کمک به انجام راحت تر محاسبات موردنظر تهیه شده است. در صورت تمایل به تهیه کتاب و یا ارسال نظرات، لطفا با تلفن همراه فوق تماس بگیرید.</t>
  </si>
  <si>
    <t>ارزیابی جامع واحد تجاری (مغازه)</t>
  </si>
  <si>
    <t>به جهت حساسیت پارامترها و اهمیت ارزیابی واحدهای تجاری، توصیه می شود که حتما فصل ارزیابی واحدهای تجاری کتاب «ارزیابی املاک» را مطالعه نموده و سپس از این فایل استفاده فرمایید.</t>
  </si>
  <si>
    <t>ارزیابی واحد تجاری (مغازه)</t>
  </si>
  <si>
    <t>شماره واحد</t>
  </si>
  <si>
    <t>مساحت واحد</t>
  </si>
  <si>
    <t>مساحت انباری</t>
  </si>
  <si>
    <t>مساحت پارکینگ</t>
  </si>
  <si>
    <t>سهم العرصه (قدر السهم)</t>
  </si>
  <si>
    <t>مساحت قسمت های اختصاصی طبق سند مالکیت و یا گواهی پایان کار بهره برداری</t>
  </si>
  <si>
    <t>واحدهای موجود در ساختمان</t>
  </si>
  <si>
    <t>برابر مساحت عرصه</t>
  </si>
  <si>
    <t>تعداد واحدهای موجود در ساختمان</t>
  </si>
  <si>
    <t>مساحت عرصه (مترمربع)</t>
  </si>
  <si>
    <t>محاسبه سهم العرصه (قدر السهم) واحدهای موجود در یک ساختمان</t>
  </si>
  <si>
    <t>مجموع مساحت قسمت های اختصاصی هر واحد</t>
  </si>
  <si>
    <t>مساحت سایر فضاهای اختصاصی</t>
  </si>
  <si>
    <r>
      <t xml:space="preserve">نکته 1: مساحت قسمت‌ های اختصاصی واحد (شامل مساحت آپارتمان، مساحت بالکن اختصاصی، مساحت انباری اختصاصی، مساحت پارکینگ و یا پارکینگ‌های اختصاصی و ...) </t>
    </r>
    <r>
      <rPr>
        <b/>
        <sz val="14"/>
        <color rgb="FF0070C0"/>
        <rFont val="B Mitra"/>
        <charset val="178"/>
      </rPr>
      <t xml:space="preserve">طبق مندرجات سند مالکیت و پایان‌کار هر واحد و یا صورت‌مجلس تفکیکی ساختمان </t>
    </r>
    <r>
      <rPr>
        <sz val="14"/>
        <color rgb="FF0070C0"/>
        <rFont val="B Mitra"/>
        <charset val="178"/>
      </rPr>
      <t>در نظر گرفته می شود.</t>
    </r>
  </si>
  <si>
    <t xml:space="preserve">نکته 2: حیاط خلوت و یا حیاط اختصاصی واحد طبقه همکف به عنوان «امتیازات خاص واحد» بوده و در محاسبه سهم العرصه آن منظور نمی‌گردد. </t>
  </si>
  <si>
    <t>نکته 3: در تعیین سهم العرصه واحدها صرفا مساحت و نوع آن مستحدثه (اینکه جز فضاهای اختصاصی باشد و نه مشترکات) در نظر گرفته شده و ارزش طبقات و سایر عناصر (کاربری واحدها اعم از مسکونی، تجاری و ...) منظور نمی‌شود.</t>
  </si>
  <si>
    <t>ارزیابی سرقفلی واحد تجاری (مغازه)</t>
  </si>
  <si>
    <t>مساحت خالص (مترمربع)</t>
  </si>
  <si>
    <t>قیمت مترمربعی سرقفلی مغازه (ریال)</t>
  </si>
  <si>
    <t>تعیین ارزش سرقفلی مغازه مورد نظر</t>
  </si>
  <si>
    <t>تعیین ارزش مغازه مورد نظر</t>
  </si>
  <si>
    <t>ارزیابی مغازه مورد نظر</t>
  </si>
  <si>
    <t>ارزش سرقفلی مغازه مورد ارزیابی - ریال</t>
  </si>
  <si>
    <t>ارزش مترمربعی سرقفلی مغازه مورد ارزیابی - ریال</t>
  </si>
  <si>
    <t>ارزش سرقفلی مغازه با اعمال ضریب عرف کارشناسی - ریال</t>
  </si>
  <si>
    <t>میانگین ارزش مترمربعی مغازه معیار - ریال</t>
  </si>
  <si>
    <t>میانگین ارزش مترمربعی سرقفلی مغازه معیار - ریال</t>
  </si>
  <si>
    <t xml:space="preserve"> ارزش سرقفلی مغازه معیار - ریال</t>
  </si>
  <si>
    <t>7- ارزیابی سرقفلی واحد تجاری</t>
  </si>
  <si>
    <t>8- ارزیابی جامع واحد تجاری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</si>
</sst>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 #,##0_);_(* \(#,##0\);_(* &quot;-&quot;??_);_(@_)"/>
    <numFmt numFmtId="165" formatCode="_(* #,##0.000_);_(* \(#,##0.000\);_(* &quot;-&quot;??_);_(@_)"/>
    <numFmt numFmtId="166" formatCode="#,##0.000_);\(#,##0.000\)"/>
    <numFmt numFmtId="167" formatCode="#,##0.0"/>
    <numFmt numFmtId="168" formatCode="0.000"/>
    <numFmt numFmtId="169" formatCode="#,##0.00000"/>
  </numFmts>
  <fonts count="41" x14ac:knownFonts="1">
    <font>
      <sz val="11"/>
      <color theme="1"/>
      <name val="Arial"/>
      <family val="2"/>
      <scheme val="minor"/>
    </font>
    <font>
      <sz val="11"/>
      <color theme="1"/>
      <name val="Arial"/>
      <family val="2"/>
      <scheme val="minor"/>
    </font>
    <font>
      <b/>
      <sz val="14"/>
      <color theme="1"/>
      <name val="B Mitra"/>
      <charset val="178"/>
    </font>
    <font>
      <sz val="11"/>
      <color theme="1"/>
      <name val="B Mitra"/>
      <charset val="178"/>
    </font>
    <font>
      <sz val="14"/>
      <color theme="1"/>
      <name val="B Mitra"/>
      <charset val="178"/>
    </font>
    <font>
      <sz val="14"/>
      <name val="B Mitra"/>
      <charset val="178"/>
    </font>
    <font>
      <b/>
      <sz val="18"/>
      <color theme="1"/>
      <name val="IRAN Sans"/>
      <family val="2"/>
      <charset val="178"/>
    </font>
    <font>
      <u/>
      <sz val="11"/>
      <color theme="10"/>
      <name val="Arial"/>
      <family val="2"/>
      <scheme val="minor"/>
    </font>
    <font>
      <b/>
      <u/>
      <sz val="20"/>
      <color theme="10"/>
      <name val="IRAN Sans"/>
      <family val="2"/>
      <charset val="178"/>
    </font>
    <font>
      <b/>
      <u/>
      <sz val="24"/>
      <color theme="10"/>
      <name val="IRAN Sans"/>
      <family val="2"/>
      <charset val="178"/>
    </font>
    <font>
      <b/>
      <sz val="14"/>
      <color theme="1"/>
      <name val="Times New Roman"/>
      <family val="1"/>
    </font>
    <font>
      <b/>
      <sz val="11"/>
      <color theme="1"/>
      <name val="Arial"/>
      <family val="2"/>
      <scheme val="minor"/>
    </font>
    <font>
      <b/>
      <sz val="14"/>
      <color theme="1"/>
      <name val="B Nazanin"/>
      <charset val="178"/>
    </font>
    <font>
      <sz val="16"/>
      <color theme="1"/>
      <name val="IRAN Sans"/>
      <family val="2"/>
      <charset val="178"/>
    </font>
    <font>
      <b/>
      <sz val="14"/>
      <color rgb="FF00B050"/>
      <name val="B Mitra"/>
      <charset val="178"/>
    </font>
    <font>
      <b/>
      <sz val="12"/>
      <color theme="1"/>
      <name val="B Nazanin"/>
      <charset val="178"/>
    </font>
    <font>
      <b/>
      <sz val="11"/>
      <color theme="1"/>
      <name val="B Nazanin"/>
      <charset val="178"/>
    </font>
    <font>
      <sz val="11"/>
      <color theme="1"/>
      <name val="B Nazanin"/>
      <charset val="178"/>
    </font>
    <font>
      <sz val="13"/>
      <color theme="1"/>
      <name val="B Nazanin"/>
      <charset val="178"/>
    </font>
    <font>
      <sz val="8"/>
      <color theme="1"/>
      <name val="B Mitra"/>
      <charset val="178"/>
    </font>
    <font>
      <sz val="14"/>
      <color theme="1"/>
      <name val="B Nazanin"/>
      <charset val="178"/>
    </font>
    <font>
      <b/>
      <sz val="14"/>
      <color rgb="FF002060"/>
      <name val="B Nazanin"/>
      <charset val="178"/>
    </font>
    <font>
      <b/>
      <sz val="14"/>
      <color rgb="FF0000FF"/>
      <name val="Arial"/>
      <family val="2"/>
      <scheme val="minor"/>
    </font>
    <font>
      <b/>
      <u/>
      <sz val="14"/>
      <color theme="10"/>
      <name val="Arial"/>
      <family val="2"/>
      <scheme val="minor"/>
    </font>
    <font>
      <b/>
      <sz val="14"/>
      <color rgb="FF0000FF"/>
      <name val="B Titr"/>
      <charset val="178"/>
    </font>
    <font>
      <b/>
      <sz val="14"/>
      <color rgb="FFFF0000"/>
      <name val="B Titr"/>
      <charset val="178"/>
    </font>
    <font>
      <b/>
      <sz val="14"/>
      <color rgb="FFFF0000"/>
      <name val="B Nazanin"/>
      <charset val="178"/>
    </font>
    <font>
      <sz val="14"/>
      <color rgb="FFFF0000"/>
      <name val="B Nazanin"/>
      <charset val="178"/>
    </font>
    <font>
      <b/>
      <sz val="9"/>
      <color indexed="81"/>
      <name val="Tahoma"/>
      <family val="2"/>
    </font>
    <font>
      <b/>
      <sz val="14"/>
      <name val="B Mitra"/>
      <charset val="178"/>
    </font>
    <font>
      <sz val="20"/>
      <color rgb="FF0000FF"/>
      <name val="B Titr"/>
      <charset val="178"/>
    </font>
    <font>
      <b/>
      <sz val="18"/>
      <color rgb="FF0000FF"/>
      <name val="B Titr"/>
      <charset val="178"/>
    </font>
    <font>
      <b/>
      <u/>
      <sz val="20"/>
      <color rgb="FF0000FF"/>
      <name val="B Titr"/>
      <charset val="178"/>
    </font>
    <font>
      <b/>
      <u/>
      <sz val="20"/>
      <color theme="10"/>
      <name val="B Titr"/>
      <charset val="178"/>
    </font>
    <font>
      <b/>
      <sz val="12"/>
      <color rgb="FF0000FF"/>
      <name val="B Nazanin"/>
      <charset val="178"/>
    </font>
    <font>
      <u/>
      <sz val="14"/>
      <color theme="10"/>
      <name val="B Nazanin"/>
      <charset val="178"/>
    </font>
    <font>
      <b/>
      <sz val="12"/>
      <color rgb="FF00B050"/>
      <name val="B Nazanin"/>
      <charset val="178"/>
    </font>
    <font>
      <u/>
      <sz val="20"/>
      <color rgb="FF0000FF"/>
      <name val="B Titr"/>
      <charset val="178"/>
    </font>
    <font>
      <b/>
      <sz val="13"/>
      <color theme="1"/>
      <name val="B Nazanin"/>
      <charset val="178"/>
    </font>
    <font>
      <sz val="14"/>
      <color rgb="FF0070C0"/>
      <name val="B Mitra"/>
      <charset val="178"/>
    </font>
    <font>
      <b/>
      <sz val="14"/>
      <color rgb="FF0070C0"/>
      <name val="B Mitra"/>
      <charset val="178"/>
    </font>
  </fonts>
  <fills count="19">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CCFF99"/>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rgb="FFFFFFCC"/>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8" tint="0.59999389629810485"/>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s>
  <cellStyleXfs count="3">
    <xf numFmtId="0" fontId="0" fillId="0" borderId="0"/>
    <xf numFmtId="43" fontId="1" fillId="0" borderId="0" applyFont="0" applyFill="0" applyBorder="0" applyAlignment="0" applyProtection="0"/>
    <xf numFmtId="0" fontId="7" fillId="0" borderId="0" applyNumberFormat="0" applyFill="0" applyBorder="0" applyAlignment="0" applyProtection="0"/>
  </cellStyleXfs>
  <cellXfs count="371">
    <xf numFmtId="0" fontId="0" fillId="0" borderId="0" xfId="0"/>
    <xf numFmtId="0" fontId="3" fillId="0" borderId="0" xfId="0" applyFont="1"/>
    <xf numFmtId="164" fontId="4" fillId="7" borderId="1" xfId="1" applyNumberFormat="1" applyFont="1" applyFill="1" applyBorder="1" applyAlignment="1">
      <alignment horizontal="center" vertical="center"/>
    </xf>
    <xf numFmtId="37" fontId="4" fillId="7" borderId="1" xfId="1" applyNumberFormat="1" applyFont="1" applyFill="1" applyBorder="1" applyAlignment="1">
      <alignment horizontal="center" vertical="center"/>
    </xf>
    <xf numFmtId="0" fontId="4" fillId="7" borderId="1" xfId="1" applyNumberFormat="1" applyFont="1" applyFill="1" applyBorder="1" applyAlignment="1">
      <alignment horizontal="center" vertical="center"/>
    </xf>
    <xf numFmtId="43" fontId="4" fillId="0" borderId="0" xfId="1" applyFont="1" applyBorder="1" applyAlignment="1">
      <alignment horizontal="center" vertical="center"/>
    </xf>
    <xf numFmtId="43" fontId="2" fillId="0" borderId="0" xfId="1" applyFont="1" applyBorder="1" applyAlignment="1">
      <alignment vertical="center"/>
    </xf>
    <xf numFmtId="43" fontId="4" fillId="0" borderId="0" xfId="1" applyFont="1" applyFill="1" applyBorder="1" applyAlignment="1">
      <alignment horizontal="center" vertical="center"/>
    </xf>
    <xf numFmtId="9" fontId="4" fillId="0" borderId="0" xfId="1" applyNumberFormat="1" applyFont="1" applyFill="1" applyBorder="1" applyAlignment="1">
      <alignment horizontal="center" vertical="center"/>
    </xf>
    <xf numFmtId="43" fontId="4" fillId="0" borderId="0" xfId="1" applyFont="1" applyBorder="1" applyAlignment="1">
      <alignment vertical="center"/>
    </xf>
    <xf numFmtId="0" fontId="4" fillId="0" borderId="0" xfId="1" applyNumberFormat="1" applyFont="1" applyBorder="1" applyAlignment="1">
      <alignment horizontal="center" vertical="center"/>
    </xf>
    <xf numFmtId="165" fontId="4" fillId="0" borderId="0" xfId="1" applyNumberFormat="1" applyFont="1" applyBorder="1" applyAlignment="1">
      <alignment horizontal="center" vertical="center"/>
    </xf>
    <xf numFmtId="164" fontId="4" fillId="7" borderId="8" xfId="1" applyNumberFormat="1" applyFont="1" applyFill="1" applyBorder="1" applyAlignment="1">
      <alignment horizontal="center" vertical="center"/>
    </xf>
    <xf numFmtId="37" fontId="4" fillId="7" borderId="9" xfId="1" applyNumberFormat="1" applyFont="1" applyFill="1" applyBorder="1" applyAlignment="1">
      <alignment horizontal="center" vertical="center"/>
    </xf>
    <xf numFmtId="43" fontId="4" fillId="4" borderId="10" xfId="1" applyFont="1" applyFill="1" applyBorder="1" applyAlignment="1">
      <alignment horizontal="center" vertical="center"/>
    </xf>
    <xf numFmtId="164" fontId="4" fillId="4" borderId="11" xfId="1" applyNumberFormat="1" applyFont="1" applyFill="1" applyBorder="1" applyAlignment="1">
      <alignment horizontal="center" vertical="center"/>
    </xf>
    <xf numFmtId="9" fontId="4" fillId="4" borderId="11" xfId="1" applyNumberFormat="1" applyFont="1" applyFill="1" applyBorder="1" applyAlignment="1">
      <alignment horizontal="center" vertical="center"/>
    </xf>
    <xf numFmtId="43" fontId="4" fillId="4" borderId="11" xfId="1" applyFont="1" applyFill="1" applyBorder="1" applyAlignment="1">
      <alignment horizontal="center" vertical="center"/>
    </xf>
    <xf numFmtId="37" fontId="4" fillId="4" borderId="11" xfId="1" applyNumberFormat="1" applyFont="1" applyFill="1" applyBorder="1" applyAlignment="1">
      <alignment horizontal="center" vertical="center"/>
    </xf>
    <xf numFmtId="43" fontId="4" fillId="4" borderId="12" xfId="1" applyFont="1" applyFill="1" applyBorder="1" applyAlignment="1">
      <alignment horizontal="center" vertical="center"/>
    </xf>
    <xf numFmtId="43" fontId="2" fillId="0" borderId="0" xfId="1" applyFont="1" applyFill="1" applyBorder="1" applyAlignment="1">
      <alignment vertical="center"/>
    </xf>
    <xf numFmtId="10" fontId="4" fillId="0" borderId="0" xfId="1" applyNumberFormat="1" applyFont="1" applyFill="1" applyBorder="1" applyAlignment="1">
      <alignment horizontal="center" vertical="center"/>
    </xf>
    <xf numFmtId="43" fontId="4" fillId="0" borderId="16" xfId="1" applyFont="1" applyBorder="1" applyAlignment="1">
      <alignment horizontal="center" vertical="center"/>
    </xf>
    <xf numFmtId="43" fontId="4" fillId="0" borderId="16" xfId="1" applyFont="1" applyFill="1" applyBorder="1" applyAlignment="1">
      <alignment horizontal="center" vertical="center"/>
    </xf>
    <xf numFmtId="43" fontId="4" fillId="6" borderId="5" xfId="1" applyFont="1" applyFill="1" applyBorder="1" applyAlignment="1">
      <alignment horizontal="center" vertical="center"/>
    </xf>
    <xf numFmtId="166" fontId="4" fillId="6" borderId="6" xfId="1" applyNumberFormat="1" applyFont="1" applyFill="1" applyBorder="1" applyAlignment="1">
      <alignment horizontal="center" vertical="center"/>
    </xf>
    <xf numFmtId="39" fontId="4" fillId="6" borderId="6" xfId="1" applyNumberFormat="1" applyFont="1" applyFill="1" applyBorder="1" applyAlignment="1">
      <alignment horizontal="center" vertical="center"/>
    </xf>
    <xf numFmtId="3" fontId="4" fillId="6" borderId="7" xfId="1" applyNumberFormat="1" applyFont="1" applyFill="1" applyBorder="1" applyAlignment="1">
      <alignment horizontal="center" vertical="center"/>
    </xf>
    <xf numFmtId="43" fontId="4" fillId="6" borderId="10" xfId="1" applyFont="1" applyFill="1" applyBorder="1" applyAlignment="1">
      <alignment horizontal="center" vertical="center"/>
    </xf>
    <xf numFmtId="166" fontId="4" fillId="6" borderId="11" xfId="1" applyNumberFormat="1" applyFont="1" applyFill="1" applyBorder="1" applyAlignment="1">
      <alignment horizontal="center" vertical="center"/>
    </xf>
    <xf numFmtId="39" fontId="4" fillId="6" borderId="11" xfId="1" applyNumberFormat="1" applyFont="1" applyFill="1" applyBorder="1" applyAlignment="1">
      <alignment horizontal="center" vertical="center"/>
    </xf>
    <xf numFmtId="3" fontId="4" fillId="6" borderId="12" xfId="1" applyNumberFormat="1" applyFont="1" applyFill="1" applyBorder="1" applyAlignment="1">
      <alignment horizontal="center" vertical="center"/>
    </xf>
    <xf numFmtId="43" fontId="4" fillId="3" borderId="5" xfId="1" applyFont="1" applyFill="1" applyBorder="1" applyAlignment="1">
      <alignment horizontal="center" vertical="center"/>
    </xf>
    <xf numFmtId="166" fontId="4" fillId="3" borderId="6" xfId="1" applyNumberFormat="1" applyFont="1" applyFill="1" applyBorder="1" applyAlignment="1">
      <alignment horizontal="center" vertical="center"/>
    </xf>
    <xf numFmtId="39" fontId="4" fillId="3" borderId="6" xfId="1" applyNumberFormat="1" applyFont="1" applyFill="1" applyBorder="1" applyAlignment="1">
      <alignment horizontal="center" vertical="center"/>
    </xf>
    <xf numFmtId="3" fontId="4" fillId="3" borderId="7" xfId="1" applyNumberFormat="1" applyFont="1" applyFill="1" applyBorder="1" applyAlignment="1">
      <alignment horizontal="center" vertical="center"/>
    </xf>
    <xf numFmtId="43" fontId="4" fillId="3" borderId="10" xfId="1" applyFont="1" applyFill="1" applyBorder="1" applyAlignment="1">
      <alignment horizontal="center" vertical="center"/>
    </xf>
    <xf numFmtId="166" fontId="4" fillId="3" borderId="11" xfId="1" applyNumberFormat="1" applyFont="1" applyFill="1" applyBorder="1" applyAlignment="1">
      <alignment horizontal="center" vertical="center"/>
    </xf>
    <xf numFmtId="39" fontId="4" fillId="3" borderId="11" xfId="1" applyNumberFormat="1" applyFont="1" applyFill="1" applyBorder="1" applyAlignment="1">
      <alignment horizontal="center" vertical="center"/>
    </xf>
    <xf numFmtId="3" fontId="4" fillId="3" borderId="12" xfId="1" applyNumberFormat="1" applyFont="1" applyFill="1" applyBorder="1" applyAlignment="1">
      <alignment horizontal="center" vertical="center"/>
    </xf>
    <xf numFmtId="43" fontId="4" fillId="5" borderId="5" xfId="1" applyFont="1" applyFill="1" applyBorder="1" applyAlignment="1">
      <alignment horizontal="center" vertical="center"/>
    </xf>
    <xf numFmtId="166" fontId="4" fillId="5" borderId="6" xfId="1" applyNumberFormat="1" applyFont="1" applyFill="1" applyBorder="1" applyAlignment="1">
      <alignment horizontal="center" vertical="center"/>
    </xf>
    <xf numFmtId="39" fontId="4" fillId="5" borderId="6" xfId="1" applyNumberFormat="1" applyFont="1" applyFill="1" applyBorder="1" applyAlignment="1">
      <alignment horizontal="center" vertical="center"/>
    </xf>
    <xf numFmtId="3" fontId="4" fillId="5" borderId="7" xfId="1" applyNumberFormat="1" applyFont="1" applyFill="1" applyBorder="1" applyAlignment="1">
      <alignment horizontal="center" vertical="center"/>
    </xf>
    <xf numFmtId="43" fontId="4" fillId="5" borderId="10" xfId="1" applyFont="1" applyFill="1" applyBorder="1" applyAlignment="1">
      <alignment horizontal="center" vertical="center"/>
    </xf>
    <xf numFmtId="166" fontId="4" fillId="5" borderId="11" xfId="1" applyNumberFormat="1" applyFont="1" applyFill="1" applyBorder="1" applyAlignment="1">
      <alignment horizontal="center" vertical="center"/>
    </xf>
    <xf numFmtId="39" fontId="4" fillId="5" borderId="11" xfId="1" applyNumberFormat="1" applyFont="1" applyFill="1" applyBorder="1" applyAlignment="1">
      <alignment horizontal="center" vertical="center"/>
    </xf>
    <xf numFmtId="3" fontId="4" fillId="5" borderId="12" xfId="1" applyNumberFormat="1" applyFont="1" applyFill="1" applyBorder="1" applyAlignment="1">
      <alignment horizontal="center" vertical="center"/>
    </xf>
    <xf numFmtId="0" fontId="0" fillId="7" borderId="1" xfId="0" applyFill="1" applyBorder="1" applyAlignment="1">
      <alignment horizontal="center" vertical="center"/>
    </xf>
    <xf numFmtId="0" fontId="0" fillId="4" borderId="11" xfId="0" applyFill="1" applyBorder="1" applyAlignment="1">
      <alignment horizontal="center" vertical="center"/>
    </xf>
    <xf numFmtId="0" fontId="8" fillId="0" borderId="0" xfId="2" applyFont="1" applyAlignment="1"/>
    <xf numFmtId="0" fontId="6" fillId="0" borderId="0" xfId="0" applyFont="1"/>
    <xf numFmtId="43" fontId="2" fillId="0" borderId="0" xfId="1" applyFont="1" applyFill="1" applyBorder="1" applyAlignment="1">
      <alignment horizontal="center" vertical="center"/>
    </xf>
    <xf numFmtId="43" fontId="4" fillId="0" borderId="8" xfId="1" applyFont="1" applyFill="1" applyBorder="1" applyAlignment="1">
      <alignment horizontal="center" vertical="center"/>
    </xf>
    <xf numFmtId="43" fontId="4" fillId="0" borderId="1" xfId="1" applyFont="1" applyFill="1" applyBorder="1" applyAlignment="1">
      <alignment horizontal="center" vertical="center"/>
    </xf>
    <xf numFmtId="43" fontId="4" fillId="0" borderId="1" xfId="1" applyFont="1" applyFill="1" applyBorder="1" applyAlignment="1">
      <alignment horizontal="center" vertical="center" shrinkToFit="1"/>
    </xf>
    <xf numFmtId="43" fontId="4" fillId="0" borderId="9" xfId="1" applyFont="1" applyFill="1" applyBorder="1" applyAlignment="1">
      <alignment horizontal="center" vertical="center" wrapText="1"/>
    </xf>
    <xf numFmtId="43" fontId="4" fillId="0" borderId="16" xfId="1" applyFont="1" applyFill="1" applyBorder="1" applyAlignment="1">
      <alignment horizontal="center" vertical="center" wrapText="1"/>
    </xf>
    <xf numFmtId="0" fontId="9" fillId="0" borderId="0" xfId="2" applyFont="1" applyAlignment="1"/>
    <xf numFmtId="43" fontId="4" fillId="9" borderId="1" xfId="1" applyFont="1" applyFill="1" applyBorder="1" applyAlignment="1">
      <alignment horizontal="center" vertical="center"/>
    </xf>
    <xf numFmtId="9" fontId="4" fillId="9" borderId="1" xfId="1" applyNumberFormat="1" applyFont="1" applyFill="1" applyBorder="1" applyAlignment="1">
      <alignment horizontal="center" vertical="center"/>
    </xf>
    <xf numFmtId="9" fontId="4" fillId="9" borderId="1" xfId="1" applyNumberFormat="1" applyFont="1" applyFill="1" applyBorder="1" applyAlignment="1">
      <alignment horizontal="center" vertical="center" shrinkToFit="1"/>
    </xf>
    <xf numFmtId="9" fontId="5" fillId="9" borderId="1" xfId="1" applyNumberFormat="1" applyFont="1" applyFill="1" applyBorder="1" applyAlignment="1">
      <alignment horizontal="center" vertical="center"/>
    </xf>
    <xf numFmtId="9" fontId="5" fillId="9" borderId="1" xfId="1" applyNumberFormat="1" applyFont="1" applyFill="1" applyBorder="1" applyAlignment="1">
      <alignment horizontal="center" vertical="center" shrinkToFit="1"/>
    </xf>
    <xf numFmtId="0" fontId="8" fillId="0" borderId="0" xfId="2" applyFont="1" applyAlignment="1">
      <alignment horizontal="center"/>
    </xf>
    <xf numFmtId="43" fontId="2" fillId="2" borderId="1" xfId="1" applyFont="1" applyFill="1" applyBorder="1" applyAlignment="1">
      <alignment horizontal="center" vertical="center"/>
    </xf>
    <xf numFmtId="3" fontId="12" fillId="2" borderId="1" xfId="1" applyNumberFormat="1" applyFont="1" applyFill="1" applyBorder="1" applyAlignment="1">
      <alignment horizontal="center" vertical="center" shrinkToFit="1"/>
    </xf>
    <xf numFmtId="43" fontId="2" fillId="0" borderId="1" xfId="1" applyFont="1" applyFill="1" applyBorder="1" applyAlignment="1">
      <alignment horizontal="center" vertical="center" wrapText="1"/>
    </xf>
    <xf numFmtId="43" fontId="2" fillId="0" borderId="1" xfId="1" applyFont="1" applyFill="1" applyBorder="1" applyAlignment="1">
      <alignment vertical="center" wrapText="1"/>
    </xf>
    <xf numFmtId="167" fontId="11" fillId="0" borderId="3" xfId="0" applyNumberFormat="1" applyFont="1" applyBorder="1" applyAlignment="1">
      <alignment horizontal="center" vertical="center" shrinkToFit="1"/>
    </xf>
    <xf numFmtId="3" fontId="12" fillId="2" borderId="17" xfId="1" applyNumberFormat="1" applyFont="1" applyFill="1" applyBorder="1" applyAlignment="1">
      <alignment horizontal="center" vertical="center" shrinkToFit="1"/>
    </xf>
    <xf numFmtId="2" fontId="12" fillId="8" borderId="1" xfId="0" applyNumberFormat="1" applyFont="1" applyFill="1" applyBorder="1" applyAlignment="1">
      <alignment horizontal="center" vertical="center" shrinkToFit="1"/>
    </xf>
    <xf numFmtId="3" fontId="12" fillId="4" borderId="1" xfId="0" applyNumberFormat="1" applyFont="1" applyFill="1" applyBorder="1" applyAlignment="1">
      <alignment horizontal="center" vertical="center" shrinkToFit="1"/>
    </xf>
    <xf numFmtId="1" fontId="4" fillId="4" borderId="11" xfId="1" applyNumberFormat="1" applyFont="1" applyFill="1" applyBorder="1" applyAlignment="1">
      <alignment horizontal="center" vertical="center"/>
    </xf>
    <xf numFmtId="10" fontId="4" fillId="6" borderId="1" xfId="1" applyNumberFormat="1" applyFont="1" applyFill="1" applyBorder="1" applyAlignment="1">
      <alignment horizontal="center" vertical="center"/>
    </xf>
    <xf numFmtId="9" fontId="4" fillId="6" borderId="1" xfId="1" applyNumberFormat="1" applyFont="1" applyFill="1" applyBorder="1" applyAlignment="1">
      <alignment horizontal="center" vertical="center"/>
    </xf>
    <xf numFmtId="43" fontId="4" fillId="6" borderId="1" xfId="1" applyFont="1" applyFill="1" applyBorder="1" applyAlignment="1">
      <alignment horizontal="center" vertical="center"/>
    </xf>
    <xf numFmtId="43" fontId="2" fillId="11" borderId="1" xfId="1" applyFont="1" applyFill="1" applyBorder="1" applyAlignment="1">
      <alignment horizontal="center" vertical="center"/>
    </xf>
    <xf numFmtId="10" fontId="2" fillId="11" borderId="1" xfId="1" applyNumberFormat="1" applyFont="1" applyFill="1" applyBorder="1" applyAlignment="1">
      <alignment horizontal="center" vertical="center"/>
    </xf>
    <xf numFmtId="10" fontId="4" fillId="3" borderId="1" xfId="1" applyNumberFormat="1" applyFont="1" applyFill="1" applyBorder="1" applyAlignment="1">
      <alignment horizontal="center" vertical="center"/>
    </xf>
    <xf numFmtId="9" fontId="4" fillId="3" borderId="1" xfId="1" applyNumberFormat="1" applyFont="1" applyFill="1" applyBorder="1" applyAlignment="1">
      <alignment horizontal="center" vertical="center"/>
    </xf>
    <xf numFmtId="43" fontId="2" fillId="12" borderId="1" xfId="1" applyFont="1" applyFill="1" applyBorder="1" applyAlignment="1">
      <alignment horizontal="center" vertical="center"/>
    </xf>
    <xf numFmtId="43" fontId="2" fillId="10" borderId="1" xfId="1" applyFont="1" applyFill="1" applyBorder="1" applyAlignment="1">
      <alignment horizontal="center" vertical="center"/>
    </xf>
    <xf numFmtId="10" fontId="2" fillId="10" borderId="1" xfId="1" applyNumberFormat="1" applyFont="1" applyFill="1" applyBorder="1" applyAlignment="1">
      <alignment horizontal="center" vertical="center"/>
    </xf>
    <xf numFmtId="0" fontId="0" fillId="9" borderId="1" xfId="0" applyFill="1" applyBorder="1"/>
    <xf numFmtId="43" fontId="4" fillId="9" borderId="1" xfId="1" applyFont="1" applyFill="1" applyBorder="1" applyAlignment="1">
      <alignment horizontal="center" vertical="center" shrinkToFit="1"/>
    </xf>
    <xf numFmtId="43" fontId="4" fillId="13" borderId="1" xfId="1" applyFont="1" applyFill="1" applyBorder="1" applyAlignment="1">
      <alignment horizontal="center" vertical="center"/>
    </xf>
    <xf numFmtId="9" fontId="4" fillId="13" borderId="1" xfId="1" applyNumberFormat="1" applyFont="1" applyFill="1" applyBorder="1" applyAlignment="1">
      <alignment horizontal="center" vertical="center"/>
    </xf>
    <xf numFmtId="0" fontId="0" fillId="13" borderId="1" xfId="0" applyFill="1" applyBorder="1"/>
    <xf numFmtId="43" fontId="4" fillId="0" borderId="0" xfId="1" applyFont="1" applyFill="1" applyBorder="1" applyAlignment="1">
      <alignment vertical="center"/>
    </xf>
    <xf numFmtId="1" fontId="4" fillId="0" borderId="0" xfId="1" applyNumberFormat="1" applyFont="1" applyFill="1" applyBorder="1" applyAlignment="1">
      <alignment horizontal="center" vertical="center"/>
    </xf>
    <xf numFmtId="43" fontId="2" fillId="14" borderId="1" xfId="1" applyFont="1" applyFill="1" applyBorder="1" applyAlignment="1">
      <alignment horizontal="center" vertical="center"/>
    </xf>
    <xf numFmtId="43" fontId="4" fillId="15" borderId="1" xfId="1" applyFont="1" applyFill="1" applyBorder="1" applyAlignment="1">
      <alignment horizontal="center" vertical="center"/>
    </xf>
    <xf numFmtId="9" fontId="4" fillId="15" borderId="1" xfId="1" applyNumberFormat="1" applyFont="1" applyFill="1" applyBorder="1" applyAlignment="1">
      <alignment horizontal="center" vertical="center"/>
    </xf>
    <xf numFmtId="43" fontId="2" fillId="16" borderId="1" xfId="1" applyFont="1" applyFill="1" applyBorder="1" applyAlignment="1">
      <alignment horizontal="center" vertical="center"/>
    </xf>
    <xf numFmtId="43" fontId="4" fillId="17" borderId="1" xfId="1" applyFont="1" applyFill="1" applyBorder="1" applyAlignment="1">
      <alignment horizontal="center" vertical="center"/>
    </xf>
    <xf numFmtId="9" fontId="4" fillId="17" borderId="1" xfId="1" applyNumberFormat="1" applyFont="1" applyFill="1" applyBorder="1" applyAlignment="1">
      <alignment horizontal="center" vertical="center"/>
    </xf>
    <xf numFmtId="0" fontId="4" fillId="0" borderId="0" xfId="0" applyFont="1" applyAlignment="1">
      <alignment wrapText="1"/>
    </xf>
    <xf numFmtId="43" fontId="4" fillId="13" borderId="10" xfId="1" applyFont="1" applyFill="1" applyBorder="1" applyAlignment="1">
      <alignment horizontal="center" vertical="center"/>
    </xf>
    <xf numFmtId="164" fontId="4" fillId="13" borderId="11" xfId="1" applyNumberFormat="1" applyFont="1" applyFill="1" applyBorder="1" applyAlignment="1">
      <alignment horizontal="center" vertical="center"/>
    </xf>
    <xf numFmtId="1" fontId="4" fillId="13" borderId="11" xfId="1" applyNumberFormat="1" applyFont="1" applyFill="1" applyBorder="1" applyAlignment="1">
      <alignment horizontal="center" vertical="center"/>
    </xf>
    <xf numFmtId="9" fontId="4" fillId="13" borderId="11" xfId="1" applyNumberFormat="1" applyFont="1" applyFill="1" applyBorder="1" applyAlignment="1">
      <alignment horizontal="center" vertical="center"/>
    </xf>
    <xf numFmtId="43" fontId="4" fillId="13" borderId="11" xfId="1" applyFont="1" applyFill="1" applyBorder="1" applyAlignment="1">
      <alignment horizontal="center" vertical="center"/>
    </xf>
    <xf numFmtId="37" fontId="4" fillId="13" borderId="11" xfId="1" applyNumberFormat="1" applyFont="1" applyFill="1" applyBorder="1" applyAlignment="1">
      <alignment horizontal="center" vertical="center"/>
    </xf>
    <xf numFmtId="0" fontId="0" fillId="13" borderId="11" xfId="0" applyFill="1" applyBorder="1" applyAlignment="1">
      <alignment horizontal="center" vertical="center"/>
    </xf>
    <xf numFmtId="3" fontId="12" fillId="0" borderId="1" xfId="1" applyNumberFormat="1" applyFont="1" applyFill="1" applyBorder="1" applyAlignment="1">
      <alignment horizontal="center" vertical="center" shrinkToFit="1"/>
    </xf>
    <xf numFmtId="3" fontId="12" fillId="0" borderId="0" xfId="1" applyNumberFormat="1" applyFont="1" applyFill="1" applyBorder="1" applyAlignment="1">
      <alignment horizontal="center" vertical="center" shrinkToFit="1"/>
    </xf>
    <xf numFmtId="39" fontId="4" fillId="5" borderId="16" xfId="1" applyNumberFormat="1" applyFont="1" applyFill="1" applyBorder="1" applyAlignment="1">
      <alignment horizontal="center" vertical="center"/>
    </xf>
    <xf numFmtId="166" fontId="4" fillId="5" borderId="16" xfId="1" applyNumberFormat="1" applyFont="1" applyFill="1" applyBorder="1" applyAlignment="1">
      <alignment horizontal="center" vertical="center"/>
    </xf>
    <xf numFmtId="3" fontId="4" fillId="5" borderId="21" xfId="1" applyNumberFormat="1" applyFont="1" applyFill="1" applyBorder="1" applyAlignment="1">
      <alignment horizontal="center" vertical="center"/>
    </xf>
    <xf numFmtId="37" fontId="4" fillId="13" borderId="12" xfId="1" applyNumberFormat="1" applyFont="1" applyFill="1" applyBorder="1" applyAlignment="1">
      <alignment horizontal="center" vertical="center"/>
    </xf>
    <xf numFmtId="165" fontId="4" fillId="0" borderId="0" xfId="1" applyNumberFormat="1" applyFont="1" applyFill="1" applyBorder="1" applyAlignment="1">
      <alignment horizontal="center" vertical="center"/>
    </xf>
    <xf numFmtId="43" fontId="4" fillId="13" borderId="5" xfId="1" applyFont="1" applyFill="1" applyBorder="1" applyAlignment="1">
      <alignment horizontal="center" vertical="center"/>
    </xf>
    <xf numFmtId="166" fontId="4" fillId="13" borderId="6" xfId="1" applyNumberFormat="1" applyFont="1" applyFill="1" applyBorder="1" applyAlignment="1">
      <alignment horizontal="center" vertical="center"/>
    </xf>
    <xf numFmtId="39" fontId="4" fillId="13" borderId="6" xfId="1" applyNumberFormat="1" applyFont="1" applyFill="1" applyBorder="1" applyAlignment="1">
      <alignment horizontal="center" vertical="center"/>
    </xf>
    <xf numFmtId="3" fontId="4" fillId="13" borderId="7" xfId="1" applyNumberFormat="1" applyFont="1" applyFill="1" applyBorder="1" applyAlignment="1">
      <alignment horizontal="center" vertical="center"/>
    </xf>
    <xf numFmtId="166" fontId="4" fillId="13" borderId="11" xfId="1" applyNumberFormat="1" applyFont="1" applyFill="1" applyBorder="1" applyAlignment="1">
      <alignment horizontal="center" vertical="center"/>
    </xf>
    <xf numFmtId="39" fontId="4" fillId="13" borderId="16" xfId="1" applyNumberFormat="1" applyFont="1" applyFill="1" applyBorder="1" applyAlignment="1">
      <alignment horizontal="center" vertical="center"/>
    </xf>
    <xf numFmtId="166" fontId="4" fillId="13" borderId="16" xfId="1" applyNumberFormat="1" applyFont="1" applyFill="1" applyBorder="1" applyAlignment="1">
      <alignment horizontal="center" vertical="center"/>
    </xf>
    <xf numFmtId="3" fontId="4" fillId="13" borderId="21" xfId="1" applyNumberFormat="1" applyFont="1" applyFill="1" applyBorder="1" applyAlignment="1">
      <alignment horizontal="center" vertical="center"/>
    </xf>
    <xf numFmtId="39" fontId="4" fillId="13" borderId="11" xfId="1" applyNumberFormat="1" applyFont="1" applyFill="1" applyBorder="1" applyAlignment="1">
      <alignment horizontal="center" vertical="center"/>
    </xf>
    <xf numFmtId="0" fontId="15" fillId="0" borderId="3" xfId="0" applyFont="1" applyBorder="1"/>
    <xf numFmtId="0" fontId="16" fillId="0" borderId="1" xfId="0" applyFont="1" applyBorder="1" applyAlignment="1">
      <alignment horizontal="center" vertical="center" wrapText="1" readingOrder="2"/>
    </xf>
    <xf numFmtId="0" fontId="17" fillId="0" borderId="1" xfId="0" applyFont="1" applyBorder="1" applyAlignment="1">
      <alignment horizontal="center" vertical="center" wrapText="1" readingOrder="1"/>
    </xf>
    <xf numFmtId="0" fontId="18" fillId="0" borderId="1" xfId="0" applyFont="1" applyBorder="1" applyAlignment="1">
      <alignment horizontal="center" vertical="center" wrapText="1" readingOrder="2"/>
    </xf>
    <xf numFmtId="168" fontId="18" fillId="0" borderId="1" xfId="0" applyNumberFormat="1" applyFont="1" applyBorder="1" applyAlignment="1">
      <alignment horizontal="center" vertical="center" wrapText="1" readingOrder="2"/>
    </xf>
    <xf numFmtId="3" fontId="18" fillId="0" borderId="1" xfId="0" applyNumberFormat="1" applyFont="1" applyBorder="1" applyAlignment="1">
      <alignment horizontal="center" vertical="center" wrapText="1" readingOrder="2"/>
    </xf>
    <xf numFmtId="0" fontId="19" fillId="0" borderId="0" xfId="0" applyFont="1" applyAlignment="1">
      <alignment horizontal="justify" vertical="center" readingOrder="2"/>
    </xf>
    <xf numFmtId="0" fontId="0" fillId="0" borderId="27" xfId="0" applyBorder="1"/>
    <xf numFmtId="0" fontId="0" fillId="0" borderId="28" xfId="0" applyBorder="1"/>
    <xf numFmtId="0" fontId="0" fillId="0" borderId="29" xfId="0" applyBorder="1"/>
    <xf numFmtId="0" fontId="0" fillId="0" borderId="30" xfId="0" applyBorder="1"/>
    <xf numFmtId="0" fontId="0" fillId="0" borderId="31" xfId="0" applyBorder="1"/>
    <xf numFmtId="0" fontId="20" fillId="0" borderId="30" xfId="0" applyFont="1" applyBorder="1"/>
    <xf numFmtId="0" fontId="20" fillId="0" borderId="0" xfId="0" applyFont="1"/>
    <xf numFmtId="0" fontId="20" fillId="0" borderId="31" xfId="0" applyFont="1" applyBorder="1"/>
    <xf numFmtId="0" fontId="20" fillId="0" borderId="32" xfId="0" applyFont="1" applyBorder="1"/>
    <xf numFmtId="0" fontId="20" fillId="0" borderId="33" xfId="0" applyFont="1" applyBorder="1"/>
    <xf numFmtId="0" fontId="20" fillId="0" borderId="34" xfId="0" applyFont="1" applyBorder="1"/>
    <xf numFmtId="0" fontId="12" fillId="0" borderId="0" xfId="0" applyFont="1" applyAlignment="1">
      <alignment horizontal="center"/>
    </xf>
    <xf numFmtId="0" fontId="0" fillId="0" borderId="0" xfId="0" applyAlignment="1">
      <alignment horizontal="center"/>
    </xf>
    <xf numFmtId="0" fontId="21" fillId="0" borderId="0" xfId="0" applyFont="1" applyAlignment="1">
      <alignment horizontal="left"/>
    </xf>
    <xf numFmtId="0" fontId="24" fillId="0" borderId="18" xfId="0" applyFont="1" applyBorder="1" applyAlignment="1">
      <alignment horizontal="center" vertical="center"/>
    </xf>
    <xf numFmtId="0" fontId="24" fillId="0" borderId="3" xfId="0" applyFont="1" applyBorder="1" applyAlignment="1">
      <alignment vertical="center"/>
    </xf>
    <xf numFmtId="0" fontId="20" fillId="0" borderId="2" xfId="0" applyFont="1" applyBorder="1" applyAlignment="1">
      <alignment horizontal="center"/>
    </xf>
    <xf numFmtId="0" fontId="20" fillId="0" borderId="8" xfId="0" applyFont="1" applyBorder="1" applyAlignment="1">
      <alignment horizontal="center"/>
    </xf>
    <xf numFmtId="2" fontId="20" fillId="0" borderId="1" xfId="0" applyNumberFormat="1" applyFont="1" applyBorder="1" applyAlignment="1">
      <alignment horizontal="center"/>
    </xf>
    <xf numFmtId="0" fontId="27" fillId="0" borderId="1" xfId="0" applyFont="1" applyBorder="1" applyAlignment="1">
      <alignment horizontal="center"/>
    </xf>
    <xf numFmtId="3" fontId="20" fillId="0" borderId="1" xfId="0" applyNumberFormat="1" applyFont="1" applyBorder="1" applyAlignment="1">
      <alignment horizontal="center"/>
    </xf>
    <xf numFmtId="3" fontId="20" fillId="0" borderId="2" xfId="0" applyNumberFormat="1" applyFont="1" applyBorder="1" applyAlignment="1">
      <alignment horizontal="center"/>
    </xf>
    <xf numFmtId="3" fontId="20" fillId="0" borderId="9" xfId="0" applyNumberFormat="1" applyFont="1" applyBorder="1" applyAlignment="1">
      <alignment horizontal="center"/>
    </xf>
    <xf numFmtId="0" fontId="20" fillId="0" borderId="1" xfId="0" applyFont="1" applyBorder="1" applyAlignment="1">
      <alignment horizontal="center"/>
    </xf>
    <xf numFmtId="3" fontId="20" fillId="2" borderId="1" xfId="0" applyNumberFormat="1" applyFont="1" applyFill="1" applyBorder="1" applyAlignment="1">
      <alignment horizontal="center"/>
    </xf>
    <xf numFmtId="43" fontId="4" fillId="0" borderId="1" xfId="1" applyFont="1" applyFill="1" applyBorder="1" applyAlignment="1">
      <alignment horizontal="center" vertical="center" wrapText="1" readingOrder="2"/>
    </xf>
    <xf numFmtId="164" fontId="4" fillId="3" borderId="1" xfId="1" applyNumberFormat="1" applyFont="1" applyFill="1" applyBorder="1" applyAlignment="1">
      <alignment horizontal="center" vertical="center" readingOrder="2"/>
    </xf>
    <xf numFmtId="2" fontId="4" fillId="3" borderId="1" xfId="1" applyNumberFormat="1" applyFont="1" applyFill="1" applyBorder="1" applyAlignment="1">
      <alignment horizontal="center" vertical="center" readingOrder="2"/>
    </xf>
    <xf numFmtId="1" fontId="4" fillId="3" borderId="1" xfId="1" applyNumberFormat="1" applyFont="1" applyFill="1" applyBorder="1" applyAlignment="1">
      <alignment horizontal="center" vertical="center" readingOrder="2"/>
    </xf>
    <xf numFmtId="37" fontId="4" fillId="3" borderId="1" xfId="1" applyNumberFormat="1" applyFont="1" applyFill="1" applyBorder="1" applyAlignment="1">
      <alignment horizontal="center" vertical="center" readingOrder="2"/>
    </xf>
    <xf numFmtId="164" fontId="2" fillId="6" borderId="1" xfId="1" applyNumberFormat="1" applyFont="1" applyFill="1" applyBorder="1" applyAlignment="1">
      <alignment horizontal="center" vertical="center" readingOrder="2"/>
    </xf>
    <xf numFmtId="2" fontId="4" fillId="6" borderId="1" xfId="1" applyNumberFormat="1" applyFont="1" applyFill="1" applyBorder="1" applyAlignment="1">
      <alignment horizontal="center" vertical="center" readingOrder="2"/>
    </xf>
    <xf numFmtId="1" fontId="4" fillId="6" borderId="1" xfId="1" applyNumberFormat="1" applyFont="1" applyFill="1" applyBorder="1" applyAlignment="1">
      <alignment horizontal="center" vertical="center" readingOrder="2"/>
    </xf>
    <xf numFmtId="164" fontId="4" fillId="6" borderId="1" xfId="1" applyNumberFormat="1" applyFont="1" applyFill="1" applyBorder="1" applyAlignment="1">
      <alignment horizontal="center" vertical="center" readingOrder="2"/>
    </xf>
    <xf numFmtId="0" fontId="0" fillId="6" borderId="1" xfId="0" applyFill="1" applyBorder="1" applyAlignment="1">
      <alignment horizontal="center" vertical="center" readingOrder="2"/>
    </xf>
    <xf numFmtId="37" fontId="4" fillId="6" borderId="1" xfId="1" applyNumberFormat="1" applyFont="1" applyFill="1" applyBorder="1" applyAlignment="1">
      <alignment horizontal="center" vertical="center" readingOrder="2"/>
    </xf>
    <xf numFmtId="43" fontId="2" fillId="9" borderId="1" xfId="1" applyFont="1" applyFill="1" applyBorder="1" applyAlignment="1">
      <alignment horizontal="center" vertical="center" shrinkToFit="1" readingOrder="2"/>
    </xf>
    <xf numFmtId="2" fontId="4" fillId="9" borderId="1" xfId="1" applyNumberFormat="1" applyFont="1" applyFill="1" applyBorder="1" applyAlignment="1">
      <alignment horizontal="center" vertical="center" readingOrder="2"/>
    </xf>
    <xf numFmtId="1" fontId="4" fillId="9" borderId="1" xfId="1" applyNumberFormat="1" applyFont="1" applyFill="1" applyBorder="1" applyAlignment="1">
      <alignment horizontal="center" vertical="center" readingOrder="2"/>
    </xf>
    <xf numFmtId="164" fontId="4" fillId="9" borderId="1" xfId="1" applyNumberFormat="1" applyFont="1" applyFill="1" applyBorder="1" applyAlignment="1">
      <alignment horizontal="center" vertical="center" readingOrder="2"/>
    </xf>
    <xf numFmtId="37" fontId="4" fillId="9" borderId="1" xfId="1" applyNumberFormat="1" applyFont="1" applyFill="1" applyBorder="1" applyAlignment="1">
      <alignment horizontal="center" vertical="center" readingOrder="2"/>
    </xf>
    <xf numFmtId="0" fontId="0" fillId="9" borderId="1" xfId="0" applyFill="1" applyBorder="1" applyAlignment="1">
      <alignment horizontal="center" vertical="center" readingOrder="2"/>
    </xf>
    <xf numFmtId="43" fontId="4" fillId="9" borderId="1" xfId="1" applyFont="1" applyFill="1" applyBorder="1" applyAlignment="1">
      <alignment horizontal="center" vertical="center" readingOrder="2"/>
    </xf>
    <xf numFmtId="43" fontId="4" fillId="0" borderId="1" xfId="1" applyFont="1" applyFill="1" applyBorder="1" applyAlignment="1">
      <alignment horizontal="center" vertical="center" wrapText="1"/>
    </xf>
    <xf numFmtId="0" fontId="0" fillId="0" borderId="1" xfId="0" applyBorder="1"/>
    <xf numFmtId="166" fontId="4" fillId="6" borderId="38" xfId="1" applyNumberFormat="1" applyFont="1" applyFill="1" applyBorder="1" applyAlignment="1">
      <alignment horizontal="center" vertical="center"/>
    </xf>
    <xf numFmtId="167" fontId="11" fillId="0" borderId="1" xfId="0" applyNumberFormat="1" applyFont="1" applyBorder="1" applyAlignment="1">
      <alignment horizontal="center" vertical="center" shrinkToFit="1"/>
    </xf>
    <xf numFmtId="166" fontId="4" fillId="3" borderId="38" xfId="1" applyNumberFormat="1" applyFont="1" applyFill="1" applyBorder="1" applyAlignment="1">
      <alignment horizontal="center" vertical="center"/>
    </xf>
    <xf numFmtId="166" fontId="4" fillId="9" borderId="6" xfId="1" applyNumberFormat="1" applyFont="1" applyFill="1" applyBorder="1" applyAlignment="1">
      <alignment horizontal="center" vertical="center"/>
    </xf>
    <xf numFmtId="39" fontId="4" fillId="9" borderId="6" xfId="1" applyNumberFormat="1" applyFont="1" applyFill="1" applyBorder="1" applyAlignment="1">
      <alignment horizontal="center" vertical="center"/>
    </xf>
    <xf numFmtId="3" fontId="4" fillId="9" borderId="7" xfId="1" applyNumberFormat="1" applyFont="1" applyFill="1" applyBorder="1" applyAlignment="1">
      <alignment horizontal="center" vertical="center"/>
    </xf>
    <xf numFmtId="166" fontId="4" fillId="9" borderId="11" xfId="1" applyNumberFormat="1" applyFont="1" applyFill="1" applyBorder="1" applyAlignment="1">
      <alignment horizontal="center" vertical="center"/>
    </xf>
    <xf numFmtId="39" fontId="4" fillId="9" borderId="11" xfId="1" applyNumberFormat="1" applyFont="1" applyFill="1" applyBorder="1" applyAlignment="1">
      <alignment horizontal="center" vertical="center"/>
    </xf>
    <xf numFmtId="166" fontId="4" fillId="9" borderId="38" xfId="1" applyNumberFormat="1" applyFont="1" applyFill="1" applyBorder="1" applyAlignment="1">
      <alignment horizontal="center" vertical="center"/>
    </xf>
    <xf numFmtId="3" fontId="4" fillId="9" borderId="12" xfId="1" applyNumberFormat="1" applyFont="1" applyFill="1" applyBorder="1" applyAlignment="1">
      <alignment horizontal="center" vertical="center"/>
    </xf>
    <xf numFmtId="166" fontId="4" fillId="0" borderId="0" xfId="1" applyNumberFormat="1" applyFont="1" applyFill="1" applyBorder="1" applyAlignment="1">
      <alignment horizontal="center" vertical="center"/>
    </xf>
    <xf numFmtId="39" fontId="4" fillId="0" borderId="0" xfId="1" applyNumberFormat="1" applyFont="1" applyFill="1" applyBorder="1" applyAlignment="1">
      <alignment horizontal="center" vertical="center"/>
    </xf>
    <xf numFmtId="3" fontId="4" fillId="0" borderId="0" xfId="1" applyNumberFormat="1" applyFont="1" applyFill="1" applyBorder="1" applyAlignment="1">
      <alignment horizontal="center" vertical="center"/>
    </xf>
    <xf numFmtId="166" fontId="4" fillId="13" borderId="38" xfId="1" applyNumberFormat="1" applyFont="1" applyFill="1" applyBorder="1" applyAlignment="1">
      <alignment horizontal="center" vertical="center"/>
    </xf>
    <xf numFmtId="3" fontId="4" fillId="13" borderId="12" xfId="1" applyNumberFormat="1" applyFont="1" applyFill="1" applyBorder="1" applyAlignment="1">
      <alignment horizontal="center" vertical="center"/>
    </xf>
    <xf numFmtId="3" fontId="4" fillId="2" borderId="17" xfId="1" applyNumberFormat="1" applyFont="1" applyFill="1" applyBorder="1" applyAlignment="1">
      <alignment horizontal="center" vertical="center" shrinkToFit="1"/>
    </xf>
    <xf numFmtId="2" fontId="4" fillId="6" borderId="1" xfId="0" applyNumberFormat="1" applyFont="1" applyFill="1" applyBorder="1" applyAlignment="1">
      <alignment horizontal="center" vertical="center"/>
    </xf>
    <xf numFmtId="3" fontId="4" fillId="0" borderId="1" xfId="0" applyNumberFormat="1" applyFont="1" applyBorder="1" applyAlignment="1">
      <alignment horizontal="center" vertical="center"/>
    </xf>
    <xf numFmtId="0" fontId="5" fillId="0" borderId="0" xfId="2" applyFont="1" applyAlignment="1">
      <alignment horizontal="center"/>
    </xf>
    <xf numFmtId="0" fontId="4" fillId="0" borderId="0" xfId="0" applyFont="1"/>
    <xf numFmtId="9" fontId="5" fillId="9" borderId="1" xfId="2" applyNumberFormat="1" applyFont="1" applyFill="1" applyBorder="1" applyAlignment="1">
      <alignment horizontal="center"/>
    </xf>
    <xf numFmtId="0" fontId="4" fillId="0" borderId="0" xfId="0" applyFont="1" applyAlignment="1">
      <alignment horizontal="center" vertical="center"/>
    </xf>
    <xf numFmtId="9" fontId="5" fillId="6" borderId="1" xfId="2" applyNumberFormat="1" applyFont="1" applyFill="1" applyBorder="1" applyAlignment="1">
      <alignment horizontal="center"/>
    </xf>
    <xf numFmtId="3" fontId="5" fillId="9" borderId="1" xfId="2" applyNumberFormat="1" applyFont="1" applyFill="1" applyBorder="1" applyAlignment="1">
      <alignment horizontal="center"/>
    </xf>
    <xf numFmtId="0" fontId="5" fillId="0" borderId="0" xfId="0" applyFont="1"/>
    <xf numFmtId="43" fontId="5" fillId="0" borderId="0" xfId="1" applyFont="1" applyBorder="1" applyAlignment="1">
      <alignment horizontal="center" vertical="center"/>
    </xf>
    <xf numFmtId="2" fontId="5" fillId="0" borderId="0" xfId="1" applyNumberFormat="1" applyFont="1" applyBorder="1" applyAlignment="1">
      <alignment horizontal="center" vertical="center"/>
    </xf>
    <xf numFmtId="43" fontId="4" fillId="9" borderId="1" xfId="1" applyFont="1" applyFill="1" applyBorder="1" applyAlignment="1">
      <alignment horizontal="center" vertical="center" wrapText="1" readingOrder="2"/>
    </xf>
    <xf numFmtId="3" fontId="4" fillId="3" borderId="1" xfId="1" applyNumberFormat="1" applyFont="1" applyFill="1" applyBorder="1" applyAlignment="1">
      <alignment horizontal="center" vertical="center" shrinkToFit="1" readingOrder="2"/>
    </xf>
    <xf numFmtId="0" fontId="4" fillId="6" borderId="1" xfId="0" applyFont="1" applyFill="1" applyBorder="1" applyAlignment="1">
      <alignment horizontal="center" vertical="center" readingOrder="2"/>
    </xf>
    <xf numFmtId="0" fontId="4" fillId="9" borderId="1" xfId="0" applyFont="1" applyFill="1" applyBorder="1" applyAlignment="1">
      <alignment horizontal="center" vertical="center" readingOrder="2"/>
    </xf>
    <xf numFmtId="0" fontId="0" fillId="0" borderId="3" xfId="0" applyBorder="1"/>
    <xf numFmtId="3" fontId="12" fillId="0" borderId="17" xfId="1" applyNumberFormat="1" applyFont="1" applyFill="1" applyBorder="1" applyAlignment="1">
      <alignment horizontal="center" vertical="center" shrinkToFit="1"/>
    </xf>
    <xf numFmtId="166" fontId="4" fillId="13" borderId="1" xfId="1" applyNumberFormat="1" applyFont="1" applyFill="1" applyBorder="1" applyAlignment="1">
      <alignment horizontal="center" vertical="center"/>
    </xf>
    <xf numFmtId="39" fontId="4" fillId="13" borderId="1" xfId="1" applyNumberFormat="1" applyFont="1" applyFill="1" applyBorder="1" applyAlignment="1">
      <alignment horizontal="center" vertical="center"/>
    </xf>
    <xf numFmtId="3" fontId="4" fillId="13" borderId="9" xfId="1" applyNumberFormat="1" applyFont="1" applyFill="1" applyBorder="1" applyAlignment="1">
      <alignment horizontal="center" vertical="center"/>
    </xf>
    <xf numFmtId="3" fontId="4" fillId="2" borderId="1" xfId="1" applyNumberFormat="1" applyFont="1" applyFill="1" applyBorder="1" applyAlignment="1">
      <alignment horizontal="center" vertical="center" shrinkToFit="1"/>
    </xf>
    <xf numFmtId="0" fontId="0" fillId="0" borderId="1" xfId="0" applyBorder="1" applyAlignment="1">
      <alignment horizontal="center"/>
    </xf>
    <xf numFmtId="169" fontId="4" fillId="2" borderId="1" xfId="1" applyNumberFormat="1" applyFont="1" applyFill="1" applyBorder="1" applyAlignment="1">
      <alignment horizontal="center" vertical="center" shrinkToFit="1"/>
    </xf>
    <xf numFmtId="0" fontId="20" fillId="6" borderId="2" xfId="0" applyFont="1" applyFill="1" applyBorder="1" applyAlignment="1">
      <alignment horizontal="center" vertical="center"/>
    </xf>
    <xf numFmtId="0" fontId="20" fillId="6" borderId="8" xfId="0" applyFont="1" applyFill="1" applyBorder="1" applyAlignment="1">
      <alignment horizontal="center" vertical="center"/>
    </xf>
    <xf numFmtId="0" fontId="20" fillId="6" borderId="1" xfId="0" applyFont="1" applyFill="1" applyBorder="1" applyAlignment="1">
      <alignment horizontal="center" vertical="center"/>
    </xf>
    <xf numFmtId="0" fontId="20" fillId="6" borderId="1" xfId="0" applyFont="1" applyFill="1" applyBorder="1" applyAlignment="1">
      <alignment horizontal="center" vertical="center" wrapText="1"/>
    </xf>
    <xf numFmtId="0" fontId="26" fillId="6" borderId="1" xfId="0" applyFont="1" applyFill="1" applyBorder="1" applyAlignment="1">
      <alignment horizontal="center" vertical="center" wrapText="1"/>
    </xf>
    <xf numFmtId="0" fontId="20" fillId="6" borderId="9" xfId="0" applyFont="1" applyFill="1" applyBorder="1" applyAlignment="1">
      <alignment horizontal="center" vertical="center" wrapText="1"/>
    </xf>
    <xf numFmtId="3" fontId="12" fillId="4" borderId="12" xfId="0" applyNumberFormat="1" applyFont="1" applyFill="1" applyBorder="1" applyAlignment="1">
      <alignment horizontal="center"/>
    </xf>
    <xf numFmtId="168" fontId="15" fillId="6" borderId="1" xfId="0" applyNumberFormat="1" applyFont="1" applyFill="1" applyBorder="1" applyAlignment="1">
      <alignment horizontal="center" vertical="center" wrapText="1" readingOrder="2"/>
    </xf>
    <xf numFmtId="3" fontId="15" fillId="6" borderId="1" xfId="0" applyNumberFormat="1" applyFont="1" applyFill="1" applyBorder="1" applyAlignment="1">
      <alignment horizontal="center" vertical="center" wrapText="1" readingOrder="2"/>
    </xf>
    <xf numFmtId="0" fontId="16" fillId="6" borderId="1" xfId="0" applyFont="1" applyFill="1" applyBorder="1" applyAlignment="1">
      <alignment horizontal="center" vertical="center" wrapText="1" readingOrder="2"/>
    </xf>
    <xf numFmtId="0" fontId="20" fillId="0" borderId="1" xfId="0" applyFont="1" applyBorder="1" applyAlignment="1">
      <alignment horizontal="center" vertical="center"/>
    </xf>
    <xf numFmtId="0" fontId="12" fillId="0" borderId="1" xfId="0" applyFont="1" applyBorder="1" applyAlignment="1">
      <alignment horizontal="center" vertical="center"/>
    </xf>
    <xf numFmtId="0" fontId="20" fillId="9" borderId="1" xfId="0" applyFont="1" applyFill="1" applyBorder="1" applyAlignment="1">
      <alignment horizontal="center" vertical="center" wrapText="1"/>
    </xf>
    <xf numFmtId="0" fontId="20" fillId="0" borderId="8" xfId="0" applyFont="1" applyBorder="1" applyAlignment="1">
      <alignment horizontal="center" vertical="center"/>
    </xf>
    <xf numFmtId="2" fontId="20" fillId="0" borderId="9" xfId="0" applyNumberFormat="1" applyFont="1" applyBorder="1" applyAlignment="1">
      <alignment horizontal="center" vertical="center"/>
    </xf>
    <xf numFmtId="0" fontId="12" fillId="13" borderId="11" xfId="0" applyFont="1" applyFill="1" applyBorder="1" applyAlignment="1">
      <alignment horizontal="center" vertical="center"/>
    </xf>
    <xf numFmtId="2" fontId="12" fillId="13" borderId="12" xfId="0" applyNumberFormat="1" applyFont="1" applyFill="1" applyBorder="1" applyAlignment="1">
      <alignment horizontal="center" vertical="center"/>
    </xf>
    <xf numFmtId="0" fontId="7" fillId="0" borderId="0" xfId="2" applyAlignment="1">
      <alignment horizontal="justify" vertical="center" readingOrder="2"/>
    </xf>
    <xf numFmtId="0" fontId="36" fillId="0" borderId="0" xfId="0" applyFont="1" applyAlignment="1">
      <alignment horizontal="center" vertical="center" shrinkToFit="1"/>
    </xf>
    <xf numFmtId="3" fontId="4" fillId="2" borderId="17" xfId="1" applyNumberFormat="1" applyFont="1" applyFill="1" applyBorder="1" applyAlignment="1">
      <alignment horizontal="center" vertical="center"/>
    </xf>
    <xf numFmtId="0" fontId="12" fillId="6" borderId="0" xfId="0" applyFont="1" applyFill="1" applyAlignment="1">
      <alignment horizontal="center"/>
    </xf>
    <xf numFmtId="0" fontId="12" fillId="11" borderId="0" xfId="0" applyFont="1" applyFill="1" applyAlignment="1">
      <alignment horizontal="center"/>
    </xf>
    <xf numFmtId="0" fontId="35" fillId="0" borderId="20" xfId="2" applyFont="1" applyBorder="1" applyAlignment="1">
      <alignment horizontal="center" vertical="center" readingOrder="2"/>
    </xf>
    <xf numFmtId="0" fontId="35" fillId="0" borderId="0" xfId="2" applyFont="1" applyBorder="1" applyAlignment="1">
      <alignment horizontal="center" vertical="center" readingOrder="2"/>
    </xf>
    <xf numFmtId="0" fontId="35" fillId="0" borderId="24" xfId="2" applyFont="1" applyBorder="1" applyAlignment="1">
      <alignment horizontal="center" vertical="center" readingOrder="2"/>
    </xf>
    <xf numFmtId="0" fontId="35" fillId="0" borderId="25" xfId="2" applyFont="1" applyBorder="1" applyAlignment="1">
      <alignment horizontal="center" vertical="center" readingOrder="2"/>
    </xf>
    <xf numFmtId="0" fontId="35" fillId="0" borderId="4" xfId="2" applyFont="1" applyBorder="1" applyAlignment="1">
      <alignment horizontal="center" vertical="center" readingOrder="2"/>
    </xf>
    <xf numFmtId="0" fontId="35" fillId="0" borderId="26" xfId="2" applyFont="1" applyBorder="1" applyAlignment="1">
      <alignment horizontal="center" vertical="center" readingOrder="2"/>
    </xf>
    <xf numFmtId="49" fontId="23" fillId="0" borderId="0" xfId="2" applyNumberFormat="1" applyFont="1" applyBorder="1" applyAlignment="1">
      <alignment horizontal="center" vertical="center"/>
    </xf>
    <xf numFmtId="0" fontId="35" fillId="0" borderId="22" xfId="2" applyFont="1" applyBorder="1" applyAlignment="1">
      <alignment horizontal="center" vertical="center" readingOrder="2"/>
    </xf>
    <xf numFmtId="0" fontId="35" fillId="0" borderId="19" xfId="2" applyFont="1" applyBorder="1" applyAlignment="1">
      <alignment horizontal="center" vertical="center" readingOrder="2"/>
    </xf>
    <xf numFmtId="0" fontId="35" fillId="0" borderId="23" xfId="2" applyFont="1" applyBorder="1" applyAlignment="1">
      <alignment horizontal="center" vertical="center" readingOrder="2"/>
    </xf>
    <xf numFmtId="0" fontId="20" fillId="6" borderId="0" xfId="0" applyFont="1" applyFill="1" applyAlignment="1">
      <alignment horizontal="center" wrapText="1"/>
    </xf>
    <xf numFmtId="49" fontId="22" fillId="0" borderId="0" xfId="0" applyNumberFormat="1" applyFont="1" applyAlignment="1">
      <alignment horizontal="right" vertical="center"/>
    </xf>
    <xf numFmtId="0" fontId="39" fillId="0" borderId="0" xfId="0" applyFont="1" applyAlignment="1">
      <alignment horizontal="right" vertical="center" wrapText="1"/>
    </xf>
    <xf numFmtId="0" fontId="12" fillId="13" borderId="36" xfId="0" applyFont="1" applyFill="1" applyBorder="1" applyAlignment="1">
      <alignment horizontal="center"/>
    </xf>
    <xf numFmtId="0" fontId="12" fillId="13" borderId="39" xfId="0" applyFont="1" applyFill="1" applyBorder="1" applyAlignment="1">
      <alignment horizontal="center"/>
    </xf>
    <xf numFmtId="0" fontId="12" fillId="13" borderId="37" xfId="0" applyFont="1" applyFill="1" applyBorder="1" applyAlignment="1">
      <alignment horizontal="center"/>
    </xf>
    <xf numFmtId="0" fontId="15" fillId="0" borderId="1" xfId="0" applyFont="1" applyBorder="1" applyAlignment="1">
      <alignment horizontal="center"/>
    </xf>
    <xf numFmtId="0" fontId="37" fillId="0" borderId="1" xfId="0" applyFont="1" applyBorder="1" applyAlignment="1">
      <alignment horizontal="center"/>
    </xf>
    <xf numFmtId="0" fontId="12" fillId="10" borderId="40" xfId="0" applyFont="1" applyFill="1" applyBorder="1" applyAlignment="1">
      <alignment horizontal="center" shrinkToFit="1"/>
    </xf>
    <xf numFmtId="0" fontId="12" fillId="10" borderId="14" xfId="0" applyFont="1" applyFill="1" applyBorder="1" applyAlignment="1">
      <alignment horizontal="center" shrinkToFit="1"/>
    </xf>
    <xf numFmtId="0" fontId="12" fillId="10" borderId="35" xfId="0" applyFont="1" applyFill="1" applyBorder="1" applyAlignment="1">
      <alignment horizontal="center" shrinkToFit="1"/>
    </xf>
    <xf numFmtId="0" fontId="38" fillId="9" borderId="41" xfId="0" applyFont="1" applyFill="1" applyBorder="1" applyAlignment="1">
      <alignment horizontal="center" vertical="center" wrapText="1"/>
    </xf>
    <xf numFmtId="0" fontId="38" fillId="9" borderId="17"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12" fillId="11" borderId="5" xfId="0" applyFont="1" applyFill="1" applyBorder="1" applyAlignment="1">
      <alignment horizontal="center"/>
    </xf>
    <xf numFmtId="0" fontId="12" fillId="11" borderId="6" xfId="0" applyFont="1" applyFill="1" applyBorder="1" applyAlignment="1">
      <alignment horizontal="center"/>
    </xf>
    <xf numFmtId="43" fontId="2" fillId="0" borderId="0" xfId="1" applyFont="1" applyBorder="1" applyAlignment="1">
      <alignment horizontal="center" vertical="center"/>
    </xf>
    <xf numFmtId="43" fontId="2" fillId="0" borderId="4" xfId="1" applyFont="1" applyFill="1" applyBorder="1" applyAlignment="1">
      <alignment horizontal="center" vertical="center"/>
    </xf>
    <xf numFmtId="0" fontId="4" fillId="13" borderId="1" xfId="0" applyFont="1" applyFill="1" applyBorder="1" applyAlignment="1">
      <alignment horizontal="center" wrapText="1"/>
    </xf>
    <xf numFmtId="9" fontId="4" fillId="13" borderId="1" xfId="1" applyNumberFormat="1" applyFont="1" applyFill="1" applyBorder="1" applyAlignment="1">
      <alignment horizontal="center" vertical="center"/>
    </xf>
    <xf numFmtId="43" fontId="4" fillId="13" borderId="1" xfId="1" applyFont="1" applyFill="1" applyBorder="1" applyAlignment="1">
      <alignment horizontal="center" vertical="center" wrapText="1"/>
    </xf>
    <xf numFmtId="0" fontId="33" fillId="0" borderId="0" xfId="2" applyFont="1" applyAlignment="1">
      <alignment horizontal="center"/>
    </xf>
    <xf numFmtId="0" fontId="0" fillId="13" borderId="1" xfId="0" applyFill="1" applyBorder="1" applyAlignment="1">
      <alignment horizontal="center"/>
    </xf>
    <xf numFmtId="0" fontId="4" fillId="0" borderId="19" xfId="0" applyFont="1" applyBorder="1" applyAlignment="1">
      <alignment horizontal="center" wrapText="1"/>
    </xf>
    <xf numFmtId="0" fontId="4" fillId="0" borderId="0" xfId="0" applyFont="1" applyAlignment="1">
      <alignment horizontal="center" wrapText="1"/>
    </xf>
    <xf numFmtId="10" fontId="4" fillId="3" borderId="1" xfId="1" applyNumberFormat="1" applyFont="1" applyFill="1" applyBorder="1" applyAlignment="1">
      <alignment horizontal="center" vertical="center" wrapText="1"/>
    </xf>
    <xf numFmtId="9" fontId="4" fillId="3" borderId="1" xfId="1" applyNumberFormat="1" applyFont="1" applyFill="1" applyBorder="1" applyAlignment="1">
      <alignment horizontal="center" vertical="center"/>
    </xf>
    <xf numFmtId="43" fontId="4" fillId="13" borderId="1" xfId="1" applyFont="1" applyFill="1" applyBorder="1" applyAlignment="1">
      <alignment horizontal="center" vertical="center"/>
    </xf>
    <xf numFmtId="0" fontId="4" fillId="13" borderId="1" xfId="0" applyFont="1" applyFill="1" applyBorder="1" applyAlignment="1">
      <alignment horizontal="center" vertical="center" wrapText="1"/>
    </xf>
    <xf numFmtId="43" fontId="2" fillId="0" borderId="4" xfId="1" applyFont="1" applyBorder="1" applyAlignment="1">
      <alignment horizontal="center" vertical="center"/>
    </xf>
    <xf numFmtId="0" fontId="32" fillId="0" borderId="2" xfId="2" applyFont="1" applyBorder="1" applyAlignment="1">
      <alignment horizontal="center"/>
    </xf>
    <xf numFmtId="0" fontId="32" fillId="0" borderId="18" xfId="2" applyFont="1" applyBorder="1" applyAlignment="1">
      <alignment horizontal="center"/>
    </xf>
    <xf numFmtId="0" fontId="32" fillId="0" borderId="3" xfId="2" applyFont="1" applyBorder="1" applyAlignment="1">
      <alignment horizontal="center"/>
    </xf>
    <xf numFmtId="0" fontId="2" fillId="4" borderId="1" xfId="0" applyFont="1" applyFill="1" applyBorder="1" applyAlignment="1">
      <alignment horizontal="center"/>
    </xf>
    <xf numFmtId="43" fontId="2" fillId="2" borderId="0" xfId="1" applyFont="1" applyFill="1" applyBorder="1" applyAlignment="1">
      <alignment horizontal="center" vertical="center"/>
    </xf>
    <xf numFmtId="43" fontId="2" fillId="2" borderId="17" xfId="1" applyFont="1" applyFill="1" applyBorder="1" applyAlignment="1">
      <alignment horizontal="center" vertical="center"/>
    </xf>
    <xf numFmtId="43" fontId="2" fillId="2" borderId="1" xfId="1" applyFont="1" applyFill="1" applyBorder="1" applyAlignment="1">
      <alignment horizontal="center" vertical="center"/>
    </xf>
    <xf numFmtId="43" fontId="2" fillId="4" borderId="13" xfId="1" applyFont="1" applyFill="1" applyBorder="1" applyAlignment="1">
      <alignment horizontal="center" vertical="center"/>
    </xf>
    <xf numFmtId="43" fontId="2" fillId="4" borderId="14" xfId="1" applyFont="1" applyFill="1" applyBorder="1" applyAlignment="1">
      <alignment horizontal="center" vertical="center"/>
    </xf>
    <xf numFmtId="43" fontId="2" fillId="4" borderId="15" xfId="1" applyFont="1" applyFill="1" applyBorder="1" applyAlignment="1">
      <alignment horizontal="center" vertical="center"/>
    </xf>
    <xf numFmtId="0" fontId="2" fillId="8" borderId="1" xfId="0" applyFont="1" applyFill="1" applyBorder="1" applyAlignment="1">
      <alignment horizontal="right"/>
    </xf>
    <xf numFmtId="0" fontId="2" fillId="8" borderId="1" xfId="0" applyFont="1" applyFill="1" applyBorder="1" applyAlignment="1">
      <alignment horizontal="center"/>
    </xf>
    <xf numFmtId="43" fontId="2" fillId="2" borderId="2" xfId="1" applyFont="1" applyFill="1" applyBorder="1" applyAlignment="1">
      <alignment horizontal="center" vertical="center"/>
    </xf>
    <xf numFmtId="43" fontId="2" fillId="2" borderId="18" xfId="1" applyFont="1" applyFill="1" applyBorder="1" applyAlignment="1">
      <alignment horizontal="center" vertical="center"/>
    </xf>
    <xf numFmtId="43" fontId="2" fillId="2" borderId="3" xfId="1" applyFont="1" applyFill="1" applyBorder="1" applyAlignment="1">
      <alignment horizontal="center" vertical="center"/>
    </xf>
    <xf numFmtId="43" fontId="2" fillId="4" borderId="5" xfId="1" applyFont="1" applyFill="1" applyBorder="1" applyAlignment="1">
      <alignment horizontal="center" vertical="center"/>
    </xf>
    <xf numFmtId="43" fontId="2" fillId="4" borderId="6" xfId="1" applyFont="1" applyFill="1" applyBorder="1" applyAlignment="1">
      <alignment horizontal="center" vertical="center"/>
    </xf>
    <xf numFmtId="43" fontId="2" fillId="4" borderId="7" xfId="1" applyFont="1" applyFill="1" applyBorder="1" applyAlignment="1">
      <alignment horizontal="center" vertical="center"/>
    </xf>
    <xf numFmtId="43" fontId="2" fillId="0" borderId="1" xfId="1" applyFont="1" applyFill="1" applyBorder="1" applyAlignment="1">
      <alignment horizontal="center" vertical="center"/>
    </xf>
    <xf numFmtId="0" fontId="14" fillId="0" borderId="20" xfId="0" applyFont="1" applyBorder="1" applyAlignment="1">
      <alignment horizontal="center"/>
    </xf>
    <xf numFmtId="0" fontId="14" fillId="0" borderId="0" xfId="0" applyFont="1" applyAlignment="1">
      <alignment horizontal="center"/>
    </xf>
    <xf numFmtId="0" fontId="13" fillId="0" borderId="0" xfId="2" applyFont="1" applyAlignment="1">
      <alignment horizontal="center" wrapText="1"/>
    </xf>
    <xf numFmtId="0" fontId="31" fillId="0" borderId="0" xfId="2" applyFont="1" applyAlignment="1">
      <alignment horizontal="center"/>
    </xf>
    <xf numFmtId="0" fontId="15" fillId="6" borderId="2" xfId="0" applyFont="1" applyFill="1" applyBorder="1" applyAlignment="1">
      <alignment horizontal="center"/>
    </xf>
    <xf numFmtId="0" fontId="15" fillId="6" borderId="18" xfId="0" applyFont="1" applyFill="1" applyBorder="1" applyAlignment="1">
      <alignment horizontal="center"/>
    </xf>
    <xf numFmtId="3" fontId="15" fillId="0" borderId="18" xfId="0" applyNumberFormat="1" applyFont="1" applyBorder="1" applyAlignment="1">
      <alignment horizontal="center"/>
    </xf>
    <xf numFmtId="0" fontId="34" fillId="0" borderId="20" xfId="0" applyFont="1" applyBorder="1" applyAlignment="1">
      <alignment horizontal="center"/>
    </xf>
    <xf numFmtId="0" fontId="34" fillId="0" borderId="0" xfId="0" applyFont="1" applyAlignment="1">
      <alignment horizontal="center"/>
    </xf>
    <xf numFmtId="0" fontId="15" fillId="6" borderId="1" xfId="0" applyFont="1" applyFill="1" applyBorder="1" applyAlignment="1">
      <alignment horizontal="center" vertical="center" wrapText="1" readingOrder="2"/>
    </xf>
    <xf numFmtId="0" fontId="24" fillId="0" borderId="2" xfId="0" applyFont="1" applyBorder="1" applyAlignment="1">
      <alignment horizontal="left" vertical="center"/>
    </xf>
    <xf numFmtId="0" fontId="24" fillId="0" borderId="18" xfId="0" applyFont="1" applyBorder="1" applyAlignment="1">
      <alignment horizontal="left" vertical="center"/>
    </xf>
    <xf numFmtId="0" fontId="24" fillId="0" borderId="18" xfId="0" applyFont="1" applyBorder="1" applyAlignment="1">
      <alignment horizontal="center" vertical="center"/>
    </xf>
    <xf numFmtId="0" fontId="25" fillId="0" borderId="17" xfId="0" applyFont="1" applyBorder="1" applyAlignment="1">
      <alignment horizontal="center" vertical="center" readingOrder="2"/>
    </xf>
    <xf numFmtId="0" fontId="12" fillId="4" borderId="1" xfId="0" applyFont="1" applyFill="1" applyBorder="1" applyAlignment="1">
      <alignment horizontal="center"/>
    </xf>
    <xf numFmtId="0" fontId="30" fillId="0" borderId="2" xfId="0" applyFont="1" applyBorder="1" applyAlignment="1">
      <alignment horizontal="center" vertical="center"/>
    </xf>
    <xf numFmtId="0" fontId="30" fillId="0" borderId="18" xfId="0" applyFont="1" applyBorder="1" applyAlignment="1">
      <alignment horizontal="center" vertical="center"/>
    </xf>
    <xf numFmtId="0" fontId="30" fillId="0" borderId="3" xfId="0" applyFont="1" applyBorder="1" applyAlignment="1">
      <alignment horizontal="center" vertical="center"/>
    </xf>
    <xf numFmtId="43" fontId="2" fillId="4" borderId="1" xfId="1" applyFont="1" applyFill="1" applyBorder="1" applyAlignment="1">
      <alignment horizontal="center" vertical="center"/>
    </xf>
    <xf numFmtId="43" fontId="2" fillId="0" borderId="1" xfId="1" applyFont="1" applyFill="1" applyBorder="1" applyAlignment="1">
      <alignment horizontal="center" vertical="center" readingOrder="2"/>
    </xf>
    <xf numFmtId="43" fontId="4" fillId="0" borderId="1" xfId="1" applyFont="1" applyFill="1" applyBorder="1" applyAlignment="1">
      <alignment horizontal="center" vertical="center" readingOrder="2"/>
    </xf>
    <xf numFmtId="43" fontId="4" fillId="0" borderId="1" xfId="1" applyFont="1" applyFill="1" applyBorder="1" applyAlignment="1">
      <alignment horizontal="center" vertical="center" wrapText="1" readingOrder="2"/>
    </xf>
    <xf numFmtId="43" fontId="4" fillId="0" borderId="1" xfId="1" applyFont="1" applyFill="1" applyBorder="1" applyAlignment="1">
      <alignment horizontal="center" vertical="center"/>
    </xf>
    <xf numFmtId="43" fontId="4" fillId="9" borderId="13" xfId="1" applyFont="1" applyFill="1" applyBorder="1" applyAlignment="1">
      <alignment horizontal="center" vertical="center"/>
    </xf>
    <xf numFmtId="43" fontId="4" fillId="9" borderId="35" xfId="1" applyFont="1" applyFill="1" applyBorder="1" applyAlignment="1">
      <alignment horizontal="center" vertical="center"/>
    </xf>
    <xf numFmtId="43" fontId="4" fillId="0" borderId="16" xfId="1" applyFont="1" applyFill="1" applyBorder="1" applyAlignment="1">
      <alignment horizontal="center" vertical="center"/>
    </xf>
    <xf numFmtId="43" fontId="2" fillId="0" borderId="16" xfId="1" applyFont="1" applyFill="1" applyBorder="1" applyAlignment="1">
      <alignment horizontal="center" vertical="center"/>
    </xf>
    <xf numFmtId="43" fontId="4" fillId="0" borderId="16" xfId="1" applyFont="1" applyFill="1" applyBorder="1" applyAlignment="1">
      <alignment horizontal="center" vertical="center" wrapText="1" readingOrder="2"/>
    </xf>
    <xf numFmtId="43" fontId="4" fillId="0" borderId="1" xfId="1" applyFont="1" applyFill="1" applyBorder="1" applyAlignment="1">
      <alignment horizontal="center" vertical="center" wrapText="1"/>
    </xf>
    <xf numFmtId="43" fontId="4" fillId="6" borderId="13" xfId="1" applyFont="1" applyFill="1" applyBorder="1" applyAlignment="1">
      <alignment horizontal="center" vertical="center"/>
    </xf>
    <xf numFmtId="43" fontId="4" fillId="6" borderId="35" xfId="1" applyFont="1" applyFill="1" applyBorder="1" applyAlignment="1">
      <alignment horizontal="center" vertical="center"/>
    </xf>
    <xf numFmtId="43" fontId="4" fillId="6" borderId="36" xfId="1" applyFont="1" applyFill="1" applyBorder="1" applyAlignment="1">
      <alignment horizontal="center" vertical="center"/>
    </xf>
    <xf numFmtId="43" fontId="4" fillId="6" borderId="37" xfId="1" applyFont="1" applyFill="1" applyBorder="1" applyAlignment="1">
      <alignment horizontal="center" vertical="center"/>
    </xf>
    <xf numFmtId="43" fontId="4" fillId="3" borderId="13" xfId="1" applyFont="1" applyFill="1" applyBorder="1" applyAlignment="1">
      <alignment horizontal="center" vertical="center"/>
    </xf>
    <xf numFmtId="43" fontId="4" fillId="3" borderId="35" xfId="1" applyFont="1" applyFill="1" applyBorder="1" applyAlignment="1">
      <alignment horizontal="center" vertical="center"/>
    </xf>
    <xf numFmtId="43" fontId="4" fillId="3" borderId="36" xfId="1" applyFont="1" applyFill="1" applyBorder="1" applyAlignment="1">
      <alignment horizontal="center" vertical="center"/>
    </xf>
    <xf numFmtId="43" fontId="4" fillId="3" borderId="37" xfId="1" applyFont="1" applyFill="1" applyBorder="1" applyAlignment="1">
      <alignment horizontal="center" vertical="center"/>
    </xf>
    <xf numFmtId="43" fontId="4" fillId="9" borderId="36" xfId="1" applyFont="1" applyFill="1" applyBorder="1" applyAlignment="1">
      <alignment horizontal="center" vertical="center"/>
    </xf>
    <xf numFmtId="43" fontId="4" fillId="9" borderId="37" xfId="1" applyFont="1" applyFill="1" applyBorder="1" applyAlignment="1">
      <alignment horizontal="center" vertical="center"/>
    </xf>
    <xf numFmtId="39" fontId="2" fillId="0" borderId="1" xfId="1" applyNumberFormat="1" applyFont="1" applyFill="1" applyBorder="1" applyAlignment="1">
      <alignment horizontal="center" vertical="center"/>
    </xf>
    <xf numFmtId="0" fontId="2" fillId="0" borderId="1" xfId="0" applyFont="1" applyBorder="1" applyAlignment="1">
      <alignment horizontal="center"/>
    </xf>
    <xf numFmtId="43" fontId="2" fillId="13" borderId="13" xfId="1" applyFont="1" applyFill="1" applyBorder="1" applyAlignment="1">
      <alignment horizontal="center" vertical="center"/>
    </xf>
    <xf numFmtId="43" fontId="2" fillId="13" borderId="35" xfId="1" applyFont="1" applyFill="1" applyBorder="1" applyAlignment="1">
      <alignment horizontal="center" vertical="center"/>
    </xf>
    <xf numFmtId="43" fontId="2" fillId="13" borderId="36" xfId="1" applyFont="1" applyFill="1" applyBorder="1" applyAlignment="1">
      <alignment horizontal="center" vertical="center"/>
    </xf>
    <xf numFmtId="43" fontId="2" fillId="13" borderId="37" xfId="1" applyFont="1" applyFill="1" applyBorder="1" applyAlignment="1">
      <alignment horizontal="center" vertical="center"/>
    </xf>
    <xf numFmtId="0" fontId="2" fillId="6" borderId="1" xfId="0" applyFont="1" applyFill="1" applyBorder="1" applyAlignment="1">
      <alignment horizontal="center"/>
    </xf>
    <xf numFmtId="0" fontId="2" fillId="6" borderId="2" xfId="0" applyFont="1" applyFill="1" applyBorder="1" applyAlignment="1">
      <alignment horizontal="center"/>
    </xf>
    <xf numFmtId="0" fontId="13" fillId="0" borderId="0" xfId="2" applyFont="1" applyAlignment="1">
      <alignment horizontal="center"/>
    </xf>
    <xf numFmtId="0" fontId="29" fillId="10" borderId="1" xfId="2" applyFont="1" applyFill="1" applyBorder="1" applyAlignment="1">
      <alignment horizontal="right"/>
    </xf>
    <xf numFmtId="0" fontId="5" fillId="0" borderId="1" xfId="2" applyFont="1" applyBorder="1" applyAlignment="1">
      <alignment horizontal="center"/>
    </xf>
    <xf numFmtId="0" fontId="29" fillId="4" borderId="1" xfId="2" applyFont="1" applyFill="1" applyBorder="1" applyAlignment="1">
      <alignment horizontal="right"/>
    </xf>
    <xf numFmtId="43" fontId="2" fillId="18" borderId="1" xfId="1" applyFont="1" applyFill="1" applyBorder="1" applyAlignment="1">
      <alignment horizontal="center" vertical="center" readingOrder="2"/>
    </xf>
    <xf numFmtId="0" fontId="2" fillId="10" borderId="1" xfId="0" applyFont="1" applyFill="1" applyBorder="1" applyAlignment="1">
      <alignment horizontal="center"/>
    </xf>
    <xf numFmtId="0" fontId="2" fillId="11" borderId="2" xfId="0" applyFont="1" applyFill="1" applyBorder="1" applyAlignment="1">
      <alignment horizontal="center"/>
    </xf>
    <xf numFmtId="0" fontId="2" fillId="11" borderId="3" xfId="0" applyFont="1" applyFill="1" applyBorder="1" applyAlignment="1">
      <alignment horizontal="center"/>
    </xf>
    <xf numFmtId="43" fontId="4" fillId="9" borderId="1" xfId="1" applyFont="1" applyFill="1" applyBorder="1" applyAlignment="1">
      <alignment horizontal="center" vertical="center" wrapText="1" readingOrder="2"/>
    </xf>
    <xf numFmtId="0" fontId="2" fillId="9" borderId="1" xfId="0" applyFont="1" applyFill="1" applyBorder="1" applyAlignment="1">
      <alignment horizontal="center"/>
    </xf>
    <xf numFmtId="43" fontId="2" fillId="6" borderId="16" xfId="1" applyFont="1" applyFill="1" applyBorder="1" applyAlignment="1">
      <alignment horizontal="center" vertical="center" wrapText="1" readingOrder="2"/>
    </xf>
    <xf numFmtId="43" fontId="2" fillId="6" borderId="17" xfId="1" applyFont="1" applyFill="1" applyBorder="1" applyAlignment="1">
      <alignment horizontal="center" vertical="center" wrapText="1" readingOrder="2"/>
    </xf>
    <xf numFmtId="43" fontId="4" fillId="0" borderId="16" xfId="1" applyFont="1" applyFill="1" applyBorder="1" applyAlignment="1">
      <alignment horizontal="center" vertical="center" wrapText="1"/>
    </xf>
    <xf numFmtId="43" fontId="2" fillId="0" borderId="1" xfId="1" applyFont="1" applyFill="1" applyBorder="1" applyAlignment="1">
      <alignment horizontal="center" vertical="center" wrapText="1"/>
    </xf>
    <xf numFmtId="43" fontId="4" fillId="0" borderId="6" xfId="1" applyFont="1" applyFill="1" applyBorder="1" applyAlignment="1">
      <alignment horizontal="center" vertical="center"/>
    </xf>
    <xf numFmtId="39" fontId="2" fillId="0" borderId="17" xfId="1" applyNumberFormat="1" applyFont="1" applyFill="1" applyBorder="1" applyAlignment="1">
      <alignment horizontal="center" vertical="center"/>
    </xf>
    <xf numFmtId="43" fontId="2" fillId="0" borderId="5" xfId="1" applyFont="1" applyFill="1" applyBorder="1" applyAlignment="1">
      <alignment horizontal="center" vertical="center"/>
    </xf>
    <xf numFmtId="43" fontId="2" fillId="0" borderId="6" xfId="1" applyFont="1" applyFill="1" applyBorder="1" applyAlignment="1">
      <alignment horizontal="center" vertical="center"/>
    </xf>
    <xf numFmtId="43" fontId="2" fillId="0" borderId="8" xfId="1" applyFont="1" applyFill="1" applyBorder="1" applyAlignment="1">
      <alignment horizontal="center" vertical="center"/>
    </xf>
    <xf numFmtId="43" fontId="4" fillId="0" borderId="6" xfId="1" applyFont="1" applyFill="1" applyBorder="1" applyAlignment="1">
      <alignment horizontal="center" vertical="center" wrapText="1" readingOrder="2"/>
    </xf>
    <xf numFmtId="0" fontId="14" fillId="0" borderId="1" xfId="0" applyFont="1" applyBorder="1" applyAlignment="1">
      <alignment horizontal="center" shrinkToFit="1"/>
    </xf>
    <xf numFmtId="43" fontId="4" fillId="0" borderId="7" xfId="1" applyFont="1" applyFill="1" applyBorder="1" applyAlignment="1">
      <alignment horizontal="center" vertical="center" wrapText="1"/>
    </xf>
    <xf numFmtId="43" fontId="4" fillId="0" borderId="9" xfId="1" applyFont="1" applyFill="1" applyBorder="1" applyAlignment="1">
      <alignment horizontal="center" vertical="center" wrapText="1"/>
    </xf>
    <xf numFmtId="43" fontId="2" fillId="13" borderId="8" xfId="1" applyFont="1" applyFill="1" applyBorder="1" applyAlignment="1">
      <alignment horizontal="center" vertical="center"/>
    </xf>
    <xf numFmtId="43" fontId="2" fillId="13" borderId="1" xfId="1" applyFont="1" applyFill="1" applyBorder="1" applyAlignment="1">
      <alignment horizontal="center" vertical="center"/>
    </xf>
    <xf numFmtId="43" fontId="2" fillId="13" borderId="10" xfId="1" applyFont="1" applyFill="1" applyBorder="1" applyAlignment="1">
      <alignment horizontal="center" vertical="center"/>
    </xf>
    <xf numFmtId="43" fontId="2" fillId="13" borderId="11" xfId="1" applyFont="1" applyFill="1" applyBorder="1" applyAlignment="1">
      <alignment horizontal="center" vertical="center"/>
    </xf>
    <xf numFmtId="43" fontId="2" fillId="2" borderId="17" xfId="1" applyFont="1" applyFill="1" applyBorder="1" applyAlignment="1">
      <alignment horizontal="right" vertical="center"/>
    </xf>
    <xf numFmtId="43" fontId="2" fillId="2" borderId="1" xfId="1" applyFont="1" applyFill="1" applyBorder="1" applyAlignment="1">
      <alignment horizontal="right" vertical="center"/>
    </xf>
    <xf numFmtId="43" fontId="2" fillId="2" borderId="1" xfId="1" applyFont="1" applyFill="1" applyBorder="1" applyAlignment="1">
      <alignment horizontal="right" vertical="center" shrinkToFit="1"/>
    </xf>
  </cellXfs>
  <cellStyles count="3">
    <cellStyle name="Comma" xfId="1" builtinId="3"/>
    <cellStyle name="Hyperlink" xfId="2" builtinId="8"/>
    <cellStyle name="Normal" xfId="0" builtinId="0"/>
  </cellStyles>
  <dxfs count="5">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s>
  <tableStyles count="0" defaultTableStyle="TableStyleMedium2" defaultPivotStyle="PivotStyleLight16"/>
  <colors>
    <mruColors>
      <color rgb="FFFFFFCC"/>
      <color rgb="FF0000FF"/>
      <color rgb="FFCCFF99"/>
      <color rgb="FFFFCC00"/>
      <color rgb="FF66FFCC"/>
      <color rgb="FFCCCC00"/>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409946</xdr:colOff>
      <xdr:row>2</xdr:row>
      <xdr:rowOff>28575</xdr:rowOff>
    </xdr:from>
    <xdr:to>
      <xdr:col>8</xdr:col>
      <xdr:colOff>9525</xdr:colOff>
      <xdr:row>15</xdr:row>
      <xdr:rowOff>163073</xdr:rowOff>
    </xdr:to>
    <xdr:pic>
      <xdr:nvPicPr>
        <xdr:cNvPr id="3" name="Picture 2">
          <a:extLst>
            <a:ext uri="{FF2B5EF4-FFF2-40B4-BE49-F238E27FC236}">
              <a16:creationId xmlns:a16="http://schemas.microsoft.com/office/drawing/2014/main" id="{1E5A1139-48CD-A833-FF68-8589EA0EA50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0441725" y="390525"/>
          <a:ext cx="5038354" cy="24871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277278</xdr:colOff>
      <xdr:row>8</xdr:row>
      <xdr:rowOff>56029</xdr:rowOff>
    </xdr:from>
    <xdr:to>
      <xdr:col>2</xdr:col>
      <xdr:colOff>728382</xdr:colOff>
      <xdr:row>9</xdr:row>
      <xdr:rowOff>257735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21318441" y="2532529"/>
          <a:ext cx="451104" cy="481853"/>
        </a:xfrm>
        <a:prstGeom prst="rect">
          <a:avLst/>
        </a:prstGeom>
      </xdr:spPr>
    </xdr:pic>
    <xdr:clientData/>
  </xdr:twoCellAnchor>
  <xdr:twoCellAnchor editAs="oneCell">
    <xdr:from>
      <xdr:col>3</xdr:col>
      <xdr:colOff>268940</xdr:colOff>
      <xdr:row>8</xdr:row>
      <xdr:rowOff>56029</xdr:rowOff>
    </xdr:from>
    <xdr:to>
      <xdr:col>3</xdr:col>
      <xdr:colOff>720044</xdr:colOff>
      <xdr:row>9</xdr:row>
      <xdr:rowOff>257735</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20273426" y="2532529"/>
          <a:ext cx="451104" cy="481853"/>
        </a:xfrm>
        <a:prstGeom prst="rect">
          <a:avLst/>
        </a:prstGeom>
      </xdr:spPr>
    </xdr:pic>
    <xdr:clientData/>
  </xdr:twoCellAnchor>
  <xdr:twoCellAnchor editAs="oneCell">
    <xdr:from>
      <xdr:col>4</xdr:col>
      <xdr:colOff>283015</xdr:colOff>
      <xdr:row>8</xdr:row>
      <xdr:rowOff>56029</xdr:rowOff>
    </xdr:from>
    <xdr:to>
      <xdr:col>4</xdr:col>
      <xdr:colOff>734119</xdr:colOff>
      <xdr:row>9</xdr:row>
      <xdr:rowOff>257735</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19205998" y="2532529"/>
          <a:ext cx="451104" cy="481853"/>
        </a:xfrm>
        <a:prstGeom prst="rect">
          <a:avLst/>
        </a:prstGeom>
      </xdr:spPr>
    </xdr:pic>
    <xdr:clientData/>
  </xdr:twoCellAnchor>
  <xdr:twoCellAnchor editAs="oneCell">
    <xdr:from>
      <xdr:col>5</xdr:col>
      <xdr:colOff>308296</xdr:colOff>
      <xdr:row>8</xdr:row>
      <xdr:rowOff>56029</xdr:rowOff>
    </xdr:from>
    <xdr:to>
      <xdr:col>5</xdr:col>
      <xdr:colOff>759400</xdr:colOff>
      <xdr:row>9</xdr:row>
      <xdr:rowOff>257735</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18127364" y="2532529"/>
          <a:ext cx="451104" cy="481853"/>
        </a:xfrm>
        <a:prstGeom prst="rect">
          <a:avLst/>
        </a:prstGeom>
      </xdr:spPr>
    </xdr:pic>
    <xdr:clientData/>
  </xdr:twoCellAnchor>
  <xdr:twoCellAnchor editAs="oneCell">
    <xdr:from>
      <xdr:col>6</xdr:col>
      <xdr:colOff>288753</xdr:colOff>
      <xdr:row>8</xdr:row>
      <xdr:rowOff>56029</xdr:rowOff>
    </xdr:from>
    <xdr:to>
      <xdr:col>6</xdr:col>
      <xdr:colOff>739857</xdr:colOff>
      <xdr:row>9</xdr:row>
      <xdr:rowOff>257735</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17093554" y="2532529"/>
          <a:ext cx="451104" cy="48185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277278</xdr:colOff>
      <xdr:row>10</xdr:row>
      <xdr:rowOff>56029</xdr:rowOff>
    </xdr:from>
    <xdr:to>
      <xdr:col>2</xdr:col>
      <xdr:colOff>728382</xdr:colOff>
      <xdr:row>11</xdr:row>
      <xdr:rowOff>257735</xdr:rowOff>
    </xdr:to>
    <xdr:pic>
      <xdr:nvPicPr>
        <xdr:cNvPr id="2" name="Picture 1">
          <a:extLst>
            <a:ext uri="{FF2B5EF4-FFF2-40B4-BE49-F238E27FC236}">
              <a16:creationId xmlns:a16="http://schemas.microsoft.com/office/drawing/2014/main" id="{637B6BA4-2CC1-4E24-A828-CD941F930E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40467068" y="2675404"/>
          <a:ext cx="451104" cy="477931"/>
        </a:xfrm>
        <a:prstGeom prst="rect">
          <a:avLst/>
        </a:prstGeom>
      </xdr:spPr>
    </xdr:pic>
    <xdr:clientData/>
  </xdr:twoCellAnchor>
  <xdr:twoCellAnchor editAs="oneCell">
    <xdr:from>
      <xdr:col>3</xdr:col>
      <xdr:colOff>268940</xdr:colOff>
      <xdr:row>10</xdr:row>
      <xdr:rowOff>56029</xdr:rowOff>
    </xdr:from>
    <xdr:to>
      <xdr:col>3</xdr:col>
      <xdr:colOff>720044</xdr:colOff>
      <xdr:row>11</xdr:row>
      <xdr:rowOff>257735</xdr:rowOff>
    </xdr:to>
    <xdr:pic>
      <xdr:nvPicPr>
        <xdr:cNvPr id="3" name="Picture 2">
          <a:extLst>
            <a:ext uri="{FF2B5EF4-FFF2-40B4-BE49-F238E27FC236}">
              <a16:creationId xmlns:a16="http://schemas.microsoft.com/office/drawing/2014/main" id="{0C48070C-1B67-4532-810D-99DBEF9DE87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39275256" y="2675404"/>
          <a:ext cx="451104" cy="477931"/>
        </a:xfrm>
        <a:prstGeom prst="rect">
          <a:avLst/>
        </a:prstGeom>
      </xdr:spPr>
    </xdr:pic>
    <xdr:clientData/>
  </xdr:twoCellAnchor>
  <xdr:twoCellAnchor editAs="oneCell">
    <xdr:from>
      <xdr:col>4</xdr:col>
      <xdr:colOff>283015</xdr:colOff>
      <xdr:row>10</xdr:row>
      <xdr:rowOff>56029</xdr:rowOff>
    </xdr:from>
    <xdr:to>
      <xdr:col>4</xdr:col>
      <xdr:colOff>734119</xdr:colOff>
      <xdr:row>11</xdr:row>
      <xdr:rowOff>257735</xdr:rowOff>
    </xdr:to>
    <xdr:pic>
      <xdr:nvPicPr>
        <xdr:cNvPr id="4" name="Picture 3">
          <a:extLst>
            <a:ext uri="{FF2B5EF4-FFF2-40B4-BE49-F238E27FC236}">
              <a16:creationId xmlns:a16="http://schemas.microsoft.com/office/drawing/2014/main" id="{A30138F0-C41F-4DA8-B94F-F36E6854FBD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38061031" y="2675404"/>
          <a:ext cx="451104" cy="477931"/>
        </a:xfrm>
        <a:prstGeom prst="rect">
          <a:avLst/>
        </a:prstGeom>
      </xdr:spPr>
    </xdr:pic>
    <xdr:clientData/>
  </xdr:twoCellAnchor>
  <xdr:twoCellAnchor editAs="oneCell">
    <xdr:from>
      <xdr:col>5</xdr:col>
      <xdr:colOff>308296</xdr:colOff>
      <xdr:row>10</xdr:row>
      <xdr:rowOff>56029</xdr:rowOff>
    </xdr:from>
    <xdr:to>
      <xdr:col>5</xdr:col>
      <xdr:colOff>759400</xdr:colOff>
      <xdr:row>11</xdr:row>
      <xdr:rowOff>257735</xdr:rowOff>
    </xdr:to>
    <xdr:pic>
      <xdr:nvPicPr>
        <xdr:cNvPr id="5" name="Picture 4">
          <a:extLst>
            <a:ext uri="{FF2B5EF4-FFF2-40B4-BE49-F238E27FC236}">
              <a16:creationId xmlns:a16="http://schemas.microsoft.com/office/drawing/2014/main" id="{861950F9-0970-4FE6-9444-4D614DE5B4D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36835600" y="2675404"/>
          <a:ext cx="451104" cy="477931"/>
        </a:xfrm>
        <a:prstGeom prst="rect">
          <a:avLst/>
        </a:prstGeom>
      </xdr:spPr>
    </xdr:pic>
    <xdr:clientData/>
  </xdr:twoCellAnchor>
  <xdr:twoCellAnchor editAs="oneCell">
    <xdr:from>
      <xdr:col>6</xdr:col>
      <xdr:colOff>288753</xdr:colOff>
      <xdr:row>10</xdr:row>
      <xdr:rowOff>56029</xdr:rowOff>
    </xdr:from>
    <xdr:to>
      <xdr:col>6</xdr:col>
      <xdr:colOff>739857</xdr:colOff>
      <xdr:row>11</xdr:row>
      <xdr:rowOff>257735</xdr:rowOff>
    </xdr:to>
    <xdr:pic>
      <xdr:nvPicPr>
        <xdr:cNvPr id="6" name="Picture 5">
          <a:extLst>
            <a:ext uri="{FF2B5EF4-FFF2-40B4-BE49-F238E27FC236}">
              <a16:creationId xmlns:a16="http://schemas.microsoft.com/office/drawing/2014/main" id="{A84A23E7-5897-4051-A000-3878DFCB413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35654993" y="2675404"/>
          <a:ext cx="451104" cy="47793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277278</xdr:colOff>
      <xdr:row>10</xdr:row>
      <xdr:rowOff>39222</xdr:rowOff>
    </xdr:from>
    <xdr:to>
      <xdr:col>2</xdr:col>
      <xdr:colOff>728382</xdr:colOff>
      <xdr:row>11</xdr:row>
      <xdr:rowOff>240928</xdr:rowOff>
    </xdr:to>
    <xdr:pic>
      <xdr:nvPicPr>
        <xdr:cNvPr id="2" name="Picture 1">
          <a:extLst>
            <a:ext uri="{FF2B5EF4-FFF2-40B4-BE49-F238E27FC236}">
              <a16:creationId xmlns:a16="http://schemas.microsoft.com/office/drawing/2014/main" id="{FFF90B35-29AB-4D88-9EC0-EA9499D5293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40981418" y="3068172"/>
          <a:ext cx="451104" cy="477931"/>
        </a:xfrm>
        <a:prstGeom prst="rect">
          <a:avLst/>
        </a:prstGeom>
      </xdr:spPr>
    </xdr:pic>
    <xdr:clientData/>
  </xdr:twoCellAnchor>
  <xdr:twoCellAnchor editAs="oneCell">
    <xdr:from>
      <xdr:col>3</xdr:col>
      <xdr:colOff>268940</xdr:colOff>
      <xdr:row>10</xdr:row>
      <xdr:rowOff>39222</xdr:rowOff>
    </xdr:from>
    <xdr:to>
      <xdr:col>3</xdr:col>
      <xdr:colOff>720044</xdr:colOff>
      <xdr:row>11</xdr:row>
      <xdr:rowOff>240928</xdr:rowOff>
    </xdr:to>
    <xdr:pic>
      <xdr:nvPicPr>
        <xdr:cNvPr id="3" name="Picture 2">
          <a:extLst>
            <a:ext uri="{FF2B5EF4-FFF2-40B4-BE49-F238E27FC236}">
              <a16:creationId xmlns:a16="http://schemas.microsoft.com/office/drawing/2014/main" id="{B5EB0783-D4BA-4389-889F-1CD7A1CE686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39789606" y="3068172"/>
          <a:ext cx="451104" cy="477931"/>
        </a:xfrm>
        <a:prstGeom prst="rect">
          <a:avLst/>
        </a:prstGeom>
      </xdr:spPr>
    </xdr:pic>
    <xdr:clientData/>
  </xdr:twoCellAnchor>
  <xdr:twoCellAnchor editAs="oneCell">
    <xdr:from>
      <xdr:col>5</xdr:col>
      <xdr:colOff>283015</xdr:colOff>
      <xdr:row>10</xdr:row>
      <xdr:rowOff>39222</xdr:rowOff>
    </xdr:from>
    <xdr:to>
      <xdr:col>5</xdr:col>
      <xdr:colOff>734119</xdr:colOff>
      <xdr:row>11</xdr:row>
      <xdr:rowOff>240928</xdr:rowOff>
    </xdr:to>
    <xdr:pic>
      <xdr:nvPicPr>
        <xdr:cNvPr id="4" name="Picture 3">
          <a:extLst>
            <a:ext uri="{FF2B5EF4-FFF2-40B4-BE49-F238E27FC236}">
              <a16:creationId xmlns:a16="http://schemas.microsoft.com/office/drawing/2014/main" id="{AF0ED137-368B-432F-8271-320BFB31D11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37375231" y="3068172"/>
          <a:ext cx="451104" cy="477931"/>
        </a:xfrm>
        <a:prstGeom prst="rect">
          <a:avLst/>
        </a:prstGeom>
      </xdr:spPr>
    </xdr:pic>
    <xdr:clientData/>
  </xdr:twoCellAnchor>
  <xdr:twoCellAnchor editAs="oneCell">
    <xdr:from>
      <xdr:col>6</xdr:col>
      <xdr:colOff>308296</xdr:colOff>
      <xdr:row>10</xdr:row>
      <xdr:rowOff>39222</xdr:rowOff>
    </xdr:from>
    <xdr:to>
      <xdr:col>6</xdr:col>
      <xdr:colOff>759400</xdr:colOff>
      <xdr:row>11</xdr:row>
      <xdr:rowOff>240928</xdr:rowOff>
    </xdr:to>
    <xdr:pic>
      <xdr:nvPicPr>
        <xdr:cNvPr id="5" name="Picture 4">
          <a:extLst>
            <a:ext uri="{FF2B5EF4-FFF2-40B4-BE49-F238E27FC236}">
              <a16:creationId xmlns:a16="http://schemas.microsoft.com/office/drawing/2014/main" id="{B29A1548-0D7F-4105-9694-D0BE726D5A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36149800" y="3068172"/>
          <a:ext cx="451104" cy="477931"/>
        </a:xfrm>
        <a:prstGeom prst="rect">
          <a:avLst/>
        </a:prstGeom>
      </xdr:spPr>
    </xdr:pic>
    <xdr:clientData/>
  </xdr:twoCellAnchor>
  <xdr:twoCellAnchor editAs="oneCell">
    <xdr:from>
      <xdr:col>7</xdr:col>
      <xdr:colOff>288753</xdr:colOff>
      <xdr:row>10</xdr:row>
      <xdr:rowOff>39222</xdr:rowOff>
    </xdr:from>
    <xdr:to>
      <xdr:col>7</xdr:col>
      <xdr:colOff>739857</xdr:colOff>
      <xdr:row>11</xdr:row>
      <xdr:rowOff>240928</xdr:rowOff>
    </xdr:to>
    <xdr:pic>
      <xdr:nvPicPr>
        <xdr:cNvPr id="6" name="Picture 5">
          <a:extLst>
            <a:ext uri="{FF2B5EF4-FFF2-40B4-BE49-F238E27FC236}">
              <a16:creationId xmlns:a16="http://schemas.microsoft.com/office/drawing/2014/main" id="{3F4824DB-520D-4C86-B795-C6DCFDDE51F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34969193" y="3068172"/>
          <a:ext cx="451104" cy="477931"/>
        </a:xfrm>
        <a:prstGeom prst="rect">
          <a:avLst/>
        </a:prstGeom>
      </xdr:spPr>
    </xdr:pic>
    <xdr:clientData/>
  </xdr:twoCellAnchor>
  <xdr:twoCellAnchor editAs="oneCell">
    <xdr:from>
      <xdr:col>0</xdr:col>
      <xdr:colOff>-67701325</xdr:colOff>
      <xdr:row>7</xdr:row>
      <xdr:rowOff>226358</xdr:rowOff>
    </xdr:from>
    <xdr:to>
      <xdr:col>0</xdr:col>
      <xdr:colOff>-67250221</xdr:colOff>
      <xdr:row>9</xdr:row>
      <xdr:rowOff>136711</xdr:rowOff>
    </xdr:to>
    <xdr:pic>
      <xdr:nvPicPr>
        <xdr:cNvPr id="7" name="Picture 6">
          <a:extLst>
            <a:ext uri="{FF2B5EF4-FFF2-40B4-BE49-F238E27FC236}">
              <a16:creationId xmlns:a16="http://schemas.microsoft.com/office/drawing/2014/main" id="{590F75ED-2328-455E-90A7-848F21A9095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311617496" y="2407583"/>
          <a:ext cx="451104" cy="472328"/>
        </a:xfrm>
        <a:prstGeom prst="rect">
          <a:avLst/>
        </a:prstGeom>
      </xdr:spPr>
    </xdr:pic>
    <xdr:clientData/>
  </xdr:twoCellAnchor>
  <xdr:twoCellAnchor editAs="oneCell">
    <xdr:from>
      <xdr:col>4</xdr:col>
      <xdr:colOff>241060</xdr:colOff>
      <xdr:row>10</xdr:row>
      <xdr:rowOff>39222</xdr:rowOff>
    </xdr:from>
    <xdr:to>
      <xdr:col>4</xdr:col>
      <xdr:colOff>692164</xdr:colOff>
      <xdr:row>11</xdr:row>
      <xdr:rowOff>240928</xdr:rowOff>
    </xdr:to>
    <xdr:pic>
      <xdr:nvPicPr>
        <xdr:cNvPr id="8" name="Picture 7">
          <a:extLst>
            <a:ext uri="{FF2B5EF4-FFF2-40B4-BE49-F238E27FC236}">
              <a16:creationId xmlns:a16="http://schemas.microsoft.com/office/drawing/2014/main" id="{81980F31-BD53-439C-B29C-67FCE27CE0A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38617336" y="3068172"/>
          <a:ext cx="451104" cy="477931"/>
        </a:xfrm>
        <a:prstGeom prst="rect">
          <a:avLst/>
        </a:prstGeom>
      </xdr:spPr>
    </xdr:pic>
    <xdr:clientData/>
  </xdr:twoCellAnchor>
  <xdr:twoCellAnchor editAs="oneCell">
    <xdr:from>
      <xdr:col>0</xdr:col>
      <xdr:colOff>-65600087</xdr:colOff>
      <xdr:row>7</xdr:row>
      <xdr:rowOff>226358</xdr:rowOff>
    </xdr:from>
    <xdr:to>
      <xdr:col>0</xdr:col>
      <xdr:colOff>-65148983</xdr:colOff>
      <xdr:row>9</xdr:row>
      <xdr:rowOff>136711</xdr:rowOff>
    </xdr:to>
    <xdr:pic>
      <xdr:nvPicPr>
        <xdr:cNvPr id="9" name="Picture 8">
          <a:extLst>
            <a:ext uri="{FF2B5EF4-FFF2-40B4-BE49-F238E27FC236}">
              <a16:creationId xmlns:a16="http://schemas.microsoft.com/office/drawing/2014/main" id="{61B9F512-DDB9-482B-AB1A-75102D9A7FA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309516258" y="2407583"/>
          <a:ext cx="451104" cy="472328"/>
        </a:xfrm>
        <a:prstGeom prst="rect">
          <a:avLst/>
        </a:prstGeom>
      </xdr:spPr>
    </xdr:pic>
    <xdr:clientData/>
  </xdr:twoCellAnchor>
  <xdr:twoCellAnchor editAs="oneCell">
    <xdr:from>
      <xdr:col>8</xdr:col>
      <xdr:colOff>291621</xdr:colOff>
      <xdr:row>10</xdr:row>
      <xdr:rowOff>39222</xdr:rowOff>
    </xdr:from>
    <xdr:to>
      <xdr:col>8</xdr:col>
      <xdr:colOff>742725</xdr:colOff>
      <xdr:row>11</xdr:row>
      <xdr:rowOff>240928</xdr:rowOff>
    </xdr:to>
    <xdr:pic>
      <xdr:nvPicPr>
        <xdr:cNvPr id="10" name="Picture 9">
          <a:extLst>
            <a:ext uri="{FF2B5EF4-FFF2-40B4-BE49-F238E27FC236}">
              <a16:creationId xmlns:a16="http://schemas.microsoft.com/office/drawing/2014/main" id="{A7673544-6BE1-4ED7-AA36-D86841585C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33766175" y="3068172"/>
          <a:ext cx="451104" cy="477931"/>
        </a:xfrm>
        <a:prstGeom prst="rect">
          <a:avLst/>
        </a:prstGeom>
      </xdr:spPr>
    </xdr:pic>
    <xdr:clientData/>
  </xdr:twoCellAnchor>
  <xdr:twoCellAnchor editAs="oneCell">
    <xdr:from>
      <xdr:col>9</xdr:col>
      <xdr:colOff>272078</xdr:colOff>
      <xdr:row>10</xdr:row>
      <xdr:rowOff>39222</xdr:rowOff>
    </xdr:from>
    <xdr:to>
      <xdr:col>9</xdr:col>
      <xdr:colOff>723182</xdr:colOff>
      <xdr:row>11</xdr:row>
      <xdr:rowOff>240928</xdr:rowOff>
    </xdr:to>
    <xdr:pic>
      <xdr:nvPicPr>
        <xdr:cNvPr id="11" name="Picture 10">
          <a:extLst>
            <a:ext uri="{FF2B5EF4-FFF2-40B4-BE49-F238E27FC236}">
              <a16:creationId xmlns:a16="http://schemas.microsoft.com/office/drawing/2014/main" id="{DF080488-F460-4A4A-B08A-AC419209079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32585568" y="3068172"/>
          <a:ext cx="451104" cy="477931"/>
        </a:xfrm>
        <a:prstGeom prst="rect">
          <a:avLst/>
        </a:prstGeom>
      </xdr:spPr>
    </xdr:pic>
    <xdr:clientData/>
  </xdr:twoCellAnchor>
  <xdr:twoCellAnchor editAs="oneCell">
    <xdr:from>
      <xdr:col>10</xdr:col>
      <xdr:colOff>230123</xdr:colOff>
      <xdr:row>10</xdr:row>
      <xdr:rowOff>39222</xdr:rowOff>
    </xdr:from>
    <xdr:to>
      <xdr:col>10</xdr:col>
      <xdr:colOff>681227</xdr:colOff>
      <xdr:row>11</xdr:row>
      <xdr:rowOff>240928</xdr:rowOff>
    </xdr:to>
    <xdr:pic>
      <xdr:nvPicPr>
        <xdr:cNvPr id="12" name="Picture 11">
          <a:extLst>
            <a:ext uri="{FF2B5EF4-FFF2-40B4-BE49-F238E27FC236}">
              <a16:creationId xmlns:a16="http://schemas.microsoft.com/office/drawing/2014/main" id="{CF7CF549-BD63-4D1A-AB02-26D9E7A5B4C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31427373" y="3068172"/>
          <a:ext cx="451104" cy="477931"/>
        </a:xfrm>
        <a:prstGeom prst="rect">
          <a:avLst/>
        </a:prstGeom>
      </xdr:spPr>
    </xdr:pic>
    <xdr:clientData/>
  </xdr:twoCellAnchor>
  <xdr:twoCellAnchor editAs="oneCell">
    <xdr:from>
      <xdr:col>11</xdr:col>
      <xdr:colOff>277815</xdr:colOff>
      <xdr:row>10</xdr:row>
      <xdr:rowOff>39222</xdr:rowOff>
    </xdr:from>
    <xdr:to>
      <xdr:col>11</xdr:col>
      <xdr:colOff>728919</xdr:colOff>
      <xdr:row>11</xdr:row>
      <xdr:rowOff>240928</xdr:rowOff>
    </xdr:to>
    <xdr:pic>
      <xdr:nvPicPr>
        <xdr:cNvPr id="13" name="Picture 12">
          <a:extLst>
            <a:ext uri="{FF2B5EF4-FFF2-40B4-BE49-F238E27FC236}">
              <a16:creationId xmlns:a16="http://schemas.microsoft.com/office/drawing/2014/main" id="{5A8B2261-A300-4F8C-A185-8B0FB80A9DD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30179531" y="3068172"/>
          <a:ext cx="451104" cy="477931"/>
        </a:xfrm>
        <a:prstGeom prst="rect">
          <a:avLst/>
        </a:prstGeom>
      </xdr:spPr>
    </xdr:pic>
    <xdr:clientData/>
  </xdr:twoCellAnchor>
  <xdr:twoCellAnchor editAs="oneCell">
    <xdr:from>
      <xdr:col>12</xdr:col>
      <xdr:colOff>258272</xdr:colOff>
      <xdr:row>10</xdr:row>
      <xdr:rowOff>39222</xdr:rowOff>
    </xdr:from>
    <xdr:to>
      <xdr:col>12</xdr:col>
      <xdr:colOff>709376</xdr:colOff>
      <xdr:row>11</xdr:row>
      <xdr:rowOff>240928</xdr:rowOff>
    </xdr:to>
    <xdr:pic>
      <xdr:nvPicPr>
        <xdr:cNvPr id="14" name="Picture 13">
          <a:extLst>
            <a:ext uri="{FF2B5EF4-FFF2-40B4-BE49-F238E27FC236}">
              <a16:creationId xmlns:a16="http://schemas.microsoft.com/office/drawing/2014/main" id="{60631CAE-81B8-4445-AEAA-86BCCBE1158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28998924" y="3068172"/>
          <a:ext cx="451104" cy="47793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277278</xdr:colOff>
      <xdr:row>10</xdr:row>
      <xdr:rowOff>39222</xdr:rowOff>
    </xdr:from>
    <xdr:to>
      <xdr:col>2</xdr:col>
      <xdr:colOff>728382</xdr:colOff>
      <xdr:row>11</xdr:row>
      <xdr:rowOff>240928</xdr:rowOff>
    </xdr:to>
    <xdr:pic>
      <xdr:nvPicPr>
        <xdr:cNvPr id="2" name="Picture 1">
          <a:extLst>
            <a:ext uri="{FF2B5EF4-FFF2-40B4-BE49-F238E27FC236}">
              <a16:creationId xmlns:a16="http://schemas.microsoft.com/office/drawing/2014/main" id="{C27B0ED9-FB93-44AD-91D6-EEF1B267F18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40981418" y="3068172"/>
          <a:ext cx="451104" cy="477931"/>
        </a:xfrm>
        <a:prstGeom prst="rect">
          <a:avLst/>
        </a:prstGeom>
      </xdr:spPr>
    </xdr:pic>
    <xdr:clientData/>
  </xdr:twoCellAnchor>
  <xdr:twoCellAnchor editAs="oneCell">
    <xdr:from>
      <xdr:col>3</xdr:col>
      <xdr:colOff>268940</xdr:colOff>
      <xdr:row>10</xdr:row>
      <xdr:rowOff>39222</xdr:rowOff>
    </xdr:from>
    <xdr:to>
      <xdr:col>3</xdr:col>
      <xdr:colOff>720044</xdr:colOff>
      <xdr:row>11</xdr:row>
      <xdr:rowOff>240928</xdr:rowOff>
    </xdr:to>
    <xdr:pic>
      <xdr:nvPicPr>
        <xdr:cNvPr id="3" name="Picture 2">
          <a:extLst>
            <a:ext uri="{FF2B5EF4-FFF2-40B4-BE49-F238E27FC236}">
              <a16:creationId xmlns:a16="http://schemas.microsoft.com/office/drawing/2014/main" id="{40E24CC3-E424-4147-9810-B59DCD34DBF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39789606" y="3068172"/>
          <a:ext cx="451104" cy="477931"/>
        </a:xfrm>
        <a:prstGeom prst="rect">
          <a:avLst/>
        </a:prstGeom>
      </xdr:spPr>
    </xdr:pic>
    <xdr:clientData/>
  </xdr:twoCellAnchor>
  <xdr:twoCellAnchor editAs="oneCell">
    <xdr:from>
      <xdr:col>5</xdr:col>
      <xdr:colOff>283015</xdr:colOff>
      <xdr:row>10</xdr:row>
      <xdr:rowOff>39222</xdr:rowOff>
    </xdr:from>
    <xdr:to>
      <xdr:col>5</xdr:col>
      <xdr:colOff>734119</xdr:colOff>
      <xdr:row>11</xdr:row>
      <xdr:rowOff>240928</xdr:rowOff>
    </xdr:to>
    <xdr:pic>
      <xdr:nvPicPr>
        <xdr:cNvPr id="4" name="Picture 3">
          <a:extLst>
            <a:ext uri="{FF2B5EF4-FFF2-40B4-BE49-F238E27FC236}">
              <a16:creationId xmlns:a16="http://schemas.microsoft.com/office/drawing/2014/main" id="{376519C4-4651-47E0-A8BB-626210DEF04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37375231" y="3068172"/>
          <a:ext cx="451104" cy="477931"/>
        </a:xfrm>
        <a:prstGeom prst="rect">
          <a:avLst/>
        </a:prstGeom>
      </xdr:spPr>
    </xdr:pic>
    <xdr:clientData/>
  </xdr:twoCellAnchor>
  <xdr:twoCellAnchor editAs="oneCell">
    <xdr:from>
      <xdr:col>6</xdr:col>
      <xdr:colOff>308296</xdr:colOff>
      <xdr:row>10</xdr:row>
      <xdr:rowOff>39222</xdr:rowOff>
    </xdr:from>
    <xdr:to>
      <xdr:col>6</xdr:col>
      <xdr:colOff>759400</xdr:colOff>
      <xdr:row>11</xdr:row>
      <xdr:rowOff>240928</xdr:rowOff>
    </xdr:to>
    <xdr:pic>
      <xdr:nvPicPr>
        <xdr:cNvPr id="5" name="Picture 4">
          <a:extLst>
            <a:ext uri="{FF2B5EF4-FFF2-40B4-BE49-F238E27FC236}">
              <a16:creationId xmlns:a16="http://schemas.microsoft.com/office/drawing/2014/main" id="{40BD72E8-EECD-40AC-9B50-8682DDF5376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36149800" y="3068172"/>
          <a:ext cx="451104" cy="477931"/>
        </a:xfrm>
        <a:prstGeom prst="rect">
          <a:avLst/>
        </a:prstGeom>
      </xdr:spPr>
    </xdr:pic>
    <xdr:clientData/>
  </xdr:twoCellAnchor>
  <xdr:twoCellAnchor editAs="oneCell">
    <xdr:from>
      <xdr:col>7</xdr:col>
      <xdr:colOff>288753</xdr:colOff>
      <xdr:row>10</xdr:row>
      <xdr:rowOff>39222</xdr:rowOff>
    </xdr:from>
    <xdr:to>
      <xdr:col>7</xdr:col>
      <xdr:colOff>739857</xdr:colOff>
      <xdr:row>11</xdr:row>
      <xdr:rowOff>240928</xdr:rowOff>
    </xdr:to>
    <xdr:pic>
      <xdr:nvPicPr>
        <xdr:cNvPr id="6" name="Picture 5">
          <a:extLst>
            <a:ext uri="{FF2B5EF4-FFF2-40B4-BE49-F238E27FC236}">
              <a16:creationId xmlns:a16="http://schemas.microsoft.com/office/drawing/2014/main" id="{1F23BEA6-7034-435B-9CB1-0373218EDD7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34969193" y="3068172"/>
          <a:ext cx="451104" cy="477931"/>
        </a:xfrm>
        <a:prstGeom prst="rect">
          <a:avLst/>
        </a:prstGeom>
      </xdr:spPr>
    </xdr:pic>
    <xdr:clientData/>
  </xdr:twoCellAnchor>
  <xdr:twoCellAnchor editAs="oneCell">
    <xdr:from>
      <xdr:col>0</xdr:col>
      <xdr:colOff>-67701325</xdr:colOff>
      <xdr:row>7</xdr:row>
      <xdr:rowOff>226358</xdr:rowOff>
    </xdr:from>
    <xdr:to>
      <xdr:col>0</xdr:col>
      <xdr:colOff>-67250221</xdr:colOff>
      <xdr:row>9</xdr:row>
      <xdr:rowOff>136711</xdr:rowOff>
    </xdr:to>
    <xdr:pic>
      <xdr:nvPicPr>
        <xdr:cNvPr id="7" name="Picture 6">
          <a:extLst>
            <a:ext uri="{FF2B5EF4-FFF2-40B4-BE49-F238E27FC236}">
              <a16:creationId xmlns:a16="http://schemas.microsoft.com/office/drawing/2014/main" id="{CCF64CE1-8AC7-446C-8ED9-A6A439738B7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311617496" y="2407583"/>
          <a:ext cx="451104" cy="472328"/>
        </a:xfrm>
        <a:prstGeom prst="rect">
          <a:avLst/>
        </a:prstGeom>
      </xdr:spPr>
    </xdr:pic>
    <xdr:clientData/>
  </xdr:twoCellAnchor>
  <xdr:twoCellAnchor editAs="oneCell">
    <xdr:from>
      <xdr:col>4</xdr:col>
      <xdr:colOff>241060</xdr:colOff>
      <xdr:row>10</xdr:row>
      <xdr:rowOff>39222</xdr:rowOff>
    </xdr:from>
    <xdr:to>
      <xdr:col>4</xdr:col>
      <xdr:colOff>692164</xdr:colOff>
      <xdr:row>11</xdr:row>
      <xdr:rowOff>240928</xdr:rowOff>
    </xdr:to>
    <xdr:pic>
      <xdr:nvPicPr>
        <xdr:cNvPr id="8" name="Picture 7">
          <a:extLst>
            <a:ext uri="{FF2B5EF4-FFF2-40B4-BE49-F238E27FC236}">
              <a16:creationId xmlns:a16="http://schemas.microsoft.com/office/drawing/2014/main" id="{DFF6D26F-6D98-474A-9166-4E9B9165F09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38617336" y="3068172"/>
          <a:ext cx="451104" cy="477931"/>
        </a:xfrm>
        <a:prstGeom prst="rect">
          <a:avLst/>
        </a:prstGeom>
      </xdr:spPr>
    </xdr:pic>
    <xdr:clientData/>
  </xdr:twoCellAnchor>
  <xdr:twoCellAnchor editAs="oneCell">
    <xdr:from>
      <xdr:col>0</xdr:col>
      <xdr:colOff>-65600087</xdr:colOff>
      <xdr:row>7</xdr:row>
      <xdr:rowOff>226358</xdr:rowOff>
    </xdr:from>
    <xdr:to>
      <xdr:col>0</xdr:col>
      <xdr:colOff>-65148983</xdr:colOff>
      <xdr:row>9</xdr:row>
      <xdr:rowOff>136711</xdr:rowOff>
    </xdr:to>
    <xdr:pic>
      <xdr:nvPicPr>
        <xdr:cNvPr id="9" name="Picture 8">
          <a:extLst>
            <a:ext uri="{FF2B5EF4-FFF2-40B4-BE49-F238E27FC236}">
              <a16:creationId xmlns:a16="http://schemas.microsoft.com/office/drawing/2014/main" id="{0ED769FC-12AF-42A5-A6DF-6B38B2DE2AD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309516258" y="2407583"/>
          <a:ext cx="451104" cy="472328"/>
        </a:xfrm>
        <a:prstGeom prst="rect">
          <a:avLst/>
        </a:prstGeom>
      </xdr:spPr>
    </xdr:pic>
    <xdr:clientData/>
  </xdr:twoCellAnchor>
  <xdr:twoCellAnchor editAs="oneCell">
    <xdr:from>
      <xdr:col>8</xdr:col>
      <xdr:colOff>291621</xdr:colOff>
      <xdr:row>10</xdr:row>
      <xdr:rowOff>39222</xdr:rowOff>
    </xdr:from>
    <xdr:to>
      <xdr:col>8</xdr:col>
      <xdr:colOff>742725</xdr:colOff>
      <xdr:row>11</xdr:row>
      <xdr:rowOff>240928</xdr:rowOff>
    </xdr:to>
    <xdr:pic>
      <xdr:nvPicPr>
        <xdr:cNvPr id="10" name="Picture 9">
          <a:extLst>
            <a:ext uri="{FF2B5EF4-FFF2-40B4-BE49-F238E27FC236}">
              <a16:creationId xmlns:a16="http://schemas.microsoft.com/office/drawing/2014/main" id="{7CE5FA0F-3957-45C2-9350-191757A138C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33766175" y="3068172"/>
          <a:ext cx="451104" cy="477931"/>
        </a:xfrm>
        <a:prstGeom prst="rect">
          <a:avLst/>
        </a:prstGeom>
      </xdr:spPr>
    </xdr:pic>
    <xdr:clientData/>
  </xdr:twoCellAnchor>
  <xdr:twoCellAnchor editAs="oneCell">
    <xdr:from>
      <xdr:col>9</xdr:col>
      <xdr:colOff>272078</xdr:colOff>
      <xdr:row>10</xdr:row>
      <xdr:rowOff>39222</xdr:rowOff>
    </xdr:from>
    <xdr:to>
      <xdr:col>9</xdr:col>
      <xdr:colOff>723182</xdr:colOff>
      <xdr:row>11</xdr:row>
      <xdr:rowOff>240928</xdr:rowOff>
    </xdr:to>
    <xdr:pic>
      <xdr:nvPicPr>
        <xdr:cNvPr id="11" name="Picture 10">
          <a:extLst>
            <a:ext uri="{FF2B5EF4-FFF2-40B4-BE49-F238E27FC236}">
              <a16:creationId xmlns:a16="http://schemas.microsoft.com/office/drawing/2014/main" id="{202AB1FE-9370-4EB4-8E57-50737CAF5D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32585568" y="3068172"/>
          <a:ext cx="451104" cy="477931"/>
        </a:xfrm>
        <a:prstGeom prst="rect">
          <a:avLst/>
        </a:prstGeom>
      </xdr:spPr>
    </xdr:pic>
    <xdr:clientData/>
  </xdr:twoCellAnchor>
  <xdr:twoCellAnchor editAs="oneCell">
    <xdr:from>
      <xdr:col>10</xdr:col>
      <xdr:colOff>230123</xdr:colOff>
      <xdr:row>10</xdr:row>
      <xdr:rowOff>39222</xdr:rowOff>
    </xdr:from>
    <xdr:to>
      <xdr:col>10</xdr:col>
      <xdr:colOff>681227</xdr:colOff>
      <xdr:row>11</xdr:row>
      <xdr:rowOff>240928</xdr:rowOff>
    </xdr:to>
    <xdr:pic>
      <xdr:nvPicPr>
        <xdr:cNvPr id="12" name="Picture 11">
          <a:extLst>
            <a:ext uri="{FF2B5EF4-FFF2-40B4-BE49-F238E27FC236}">
              <a16:creationId xmlns:a16="http://schemas.microsoft.com/office/drawing/2014/main" id="{5BBD9982-4E3D-49BE-9B1E-B57881386FF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31427373" y="3068172"/>
          <a:ext cx="451104" cy="477931"/>
        </a:xfrm>
        <a:prstGeom prst="rect">
          <a:avLst/>
        </a:prstGeom>
      </xdr:spPr>
    </xdr:pic>
    <xdr:clientData/>
  </xdr:twoCellAnchor>
  <xdr:twoCellAnchor editAs="oneCell">
    <xdr:from>
      <xdr:col>11</xdr:col>
      <xdr:colOff>277815</xdr:colOff>
      <xdr:row>10</xdr:row>
      <xdr:rowOff>39222</xdr:rowOff>
    </xdr:from>
    <xdr:to>
      <xdr:col>11</xdr:col>
      <xdr:colOff>728919</xdr:colOff>
      <xdr:row>11</xdr:row>
      <xdr:rowOff>240928</xdr:rowOff>
    </xdr:to>
    <xdr:pic>
      <xdr:nvPicPr>
        <xdr:cNvPr id="13" name="Picture 12">
          <a:extLst>
            <a:ext uri="{FF2B5EF4-FFF2-40B4-BE49-F238E27FC236}">
              <a16:creationId xmlns:a16="http://schemas.microsoft.com/office/drawing/2014/main" id="{E728FE89-BF7F-45B2-9E7C-300D1ED1A7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30179531" y="3068172"/>
          <a:ext cx="451104" cy="477931"/>
        </a:xfrm>
        <a:prstGeom prst="rect">
          <a:avLst/>
        </a:prstGeom>
      </xdr:spPr>
    </xdr:pic>
    <xdr:clientData/>
  </xdr:twoCellAnchor>
  <xdr:twoCellAnchor editAs="oneCell">
    <xdr:from>
      <xdr:col>12</xdr:col>
      <xdr:colOff>258272</xdr:colOff>
      <xdr:row>10</xdr:row>
      <xdr:rowOff>39222</xdr:rowOff>
    </xdr:from>
    <xdr:to>
      <xdr:col>12</xdr:col>
      <xdr:colOff>709376</xdr:colOff>
      <xdr:row>11</xdr:row>
      <xdr:rowOff>240928</xdr:rowOff>
    </xdr:to>
    <xdr:pic>
      <xdr:nvPicPr>
        <xdr:cNvPr id="14" name="Picture 13">
          <a:extLst>
            <a:ext uri="{FF2B5EF4-FFF2-40B4-BE49-F238E27FC236}">
              <a16:creationId xmlns:a16="http://schemas.microsoft.com/office/drawing/2014/main" id="{22033B0F-B83B-48DB-AE64-67439766419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28998924" y="3068172"/>
          <a:ext cx="451104" cy="47793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277278</xdr:colOff>
      <xdr:row>26</xdr:row>
      <xdr:rowOff>39222</xdr:rowOff>
    </xdr:from>
    <xdr:to>
      <xdr:col>2</xdr:col>
      <xdr:colOff>728382</xdr:colOff>
      <xdr:row>27</xdr:row>
      <xdr:rowOff>240928</xdr:rowOff>
    </xdr:to>
    <xdr:pic>
      <xdr:nvPicPr>
        <xdr:cNvPr id="2" name="Picture 1">
          <a:extLst>
            <a:ext uri="{FF2B5EF4-FFF2-40B4-BE49-F238E27FC236}">
              <a16:creationId xmlns:a16="http://schemas.microsoft.com/office/drawing/2014/main" id="{05CEAA83-9DC3-44F2-A3EE-B00646FBC6D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41171918" y="7783047"/>
          <a:ext cx="451104" cy="477931"/>
        </a:xfrm>
        <a:prstGeom prst="rect">
          <a:avLst/>
        </a:prstGeom>
      </xdr:spPr>
    </xdr:pic>
    <xdr:clientData/>
  </xdr:twoCellAnchor>
  <xdr:twoCellAnchor editAs="oneCell">
    <xdr:from>
      <xdr:col>3</xdr:col>
      <xdr:colOff>268940</xdr:colOff>
      <xdr:row>26</xdr:row>
      <xdr:rowOff>39222</xdr:rowOff>
    </xdr:from>
    <xdr:to>
      <xdr:col>3</xdr:col>
      <xdr:colOff>720044</xdr:colOff>
      <xdr:row>27</xdr:row>
      <xdr:rowOff>240928</xdr:rowOff>
    </xdr:to>
    <xdr:pic>
      <xdr:nvPicPr>
        <xdr:cNvPr id="3" name="Picture 2">
          <a:extLst>
            <a:ext uri="{FF2B5EF4-FFF2-40B4-BE49-F238E27FC236}">
              <a16:creationId xmlns:a16="http://schemas.microsoft.com/office/drawing/2014/main" id="{04125050-9167-46C6-B9FC-B69330C0941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39980106" y="7783047"/>
          <a:ext cx="451104" cy="477931"/>
        </a:xfrm>
        <a:prstGeom prst="rect">
          <a:avLst/>
        </a:prstGeom>
      </xdr:spPr>
    </xdr:pic>
    <xdr:clientData/>
  </xdr:twoCellAnchor>
  <xdr:twoCellAnchor editAs="oneCell">
    <xdr:from>
      <xdr:col>5</xdr:col>
      <xdr:colOff>283015</xdr:colOff>
      <xdr:row>26</xdr:row>
      <xdr:rowOff>39222</xdr:rowOff>
    </xdr:from>
    <xdr:to>
      <xdr:col>5</xdr:col>
      <xdr:colOff>734119</xdr:colOff>
      <xdr:row>27</xdr:row>
      <xdr:rowOff>240928</xdr:rowOff>
    </xdr:to>
    <xdr:pic>
      <xdr:nvPicPr>
        <xdr:cNvPr id="4" name="Picture 3">
          <a:extLst>
            <a:ext uri="{FF2B5EF4-FFF2-40B4-BE49-F238E27FC236}">
              <a16:creationId xmlns:a16="http://schemas.microsoft.com/office/drawing/2014/main" id="{7FC13CA4-06A6-4CF9-8F3A-8A2EC94CD5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37565731" y="7783047"/>
          <a:ext cx="451104" cy="477931"/>
        </a:xfrm>
        <a:prstGeom prst="rect">
          <a:avLst/>
        </a:prstGeom>
      </xdr:spPr>
    </xdr:pic>
    <xdr:clientData/>
  </xdr:twoCellAnchor>
  <xdr:twoCellAnchor editAs="oneCell">
    <xdr:from>
      <xdr:col>6</xdr:col>
      <xdr:colOff>308296</xdr:colOff>
      <xdr:row>26</xdr:row>
      <xdr:rowOff>39222</xdr:rowOff>
    </xdr:from>
    <xdr:to>
      <xdr:col>6</xdr:col>
      <xdr:colOff>759400</xdr:colOff>
      <xdr:row>27</xdr:row>
      <xdr:rowOff>240928</xdr:rowOff>
    </xdr:to>
    <xdr:pic>
      <xdr:nvPicPr>
        <xdr:cNvPr id="5" name="Picture 4">
          <a:extLst>
            <a:ext uri="{FF2B5EF4-FFF2-40B4-BE49-F238E27FC236}">
              <a16:creationId xmlns:a16="http://schemas.microsoft.com/office/drawing/2014/main" id="{869C0590-0ECF-4AC1-B496-9B8BB096C26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36340300" y="7783047"/>
          <a:ext cx="451104" cy="477931"/>
        </a:xfrm>
        <a:prstGeom prst="rect">
          <a:avLst/>
        </a:prstGeom>
      </xdr:spPr>
    </xdr:pic>
    <xdr:clientData/>
  </xdr:twoCellAnchor>
  <xdr:twoCellAnchor editAs="oneCell">
    <xdr:from>
      <xdr:col>7</xdr:col>
      <xdr:colOff>288753</xdr:colOff>
      <xdr:row>26</xdr:row>
      <xdr:rowOff>39222</xdr:rowOff>
    </xdr:from>
    <xdr:to>
      <xdr:col>7</xdr:col>
      <xdr:colOff>739857</xdr:colOff>
      <xdr:row>27</xdr:row>
      <xdr:rowOff>240928</xdr:rowOff>
    </xdr:to>
    <xdr:pic>
      <xdr:nvPicPr>
        <xdr:cNvPr id="6" name="Picture 5">
          <a:extLst>
            <a:ext uri="{FF2B5EF4-FFF2-40B4-BE49-F238E27FC236}">
              <a16:creationId xmlns:a16="http://schemas.microsoft.com/office/drawing/2014/main" id="{893498F3-7196-47E4-A19A-D2C502F1A37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35159693" y="7783047"/>
          <a:ext cx="451104" cy="477931"/>
        </a:xfrm>
        <a:prstGeom prst="rect">
          <a:avLst/>
        </a:prstGeom>
      </xdr:spPr>
    </xdr:pic>
    <xdr:clientData/>
  </xdr:twoCellAnchor>
  <xdr:twoCellAnchor editAs="oneCell">
    <xdr:from>
      <xdr:col>0</xdr:col>
      <xdr:colOff>-67701325</xdr:colOff>
      <xdr:row>23</xdr:row>
      <xdr:rowOff>226358</xdr:rowOff>
    </xdr:from>
    <xdr:to>
      <xdr:col>0</xdr:col>
      <xdr:colOff>-67250221</xdr:colOff>
      <xdr:row>25</xdr:row>
      <xdr:rowOff>136711</xdr:rowOff>
    </xdr:to>
    <xdr:pic>
      <xdr:nvPicPr>
        <xdr:cNvPr id="7" name="Picture 6">
          <a:extLst>
            <a:ext uri="{FF2B5EF4-FFF2-40B4-BE49-F238E27FC236}">
              <a16:creationId xmlns:a16="http://schemas.microsoft.com/office/drawing/2014/main" id="{1F0B10EC-692B-46D8-8C5C-805567F169C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311807996" y="7122458"/>
          <a:ext cx="451104" cy="472328"/>
        </a:xfrm>
        <a:prstGeom prst="rect">
          <a:avLst/>
        </a:prstGeom>
      </xdr:spPr>
    </xdr:pic>
    <xdr:clientData/>
  </xdr:twoCellAnchor>
  <xdr:twoCellAnchor editAs="oneCell">
    <xdr:from>
      <xdr:col>0</xdr:col>
      <xdr:colOff>-65600087</xdr:colOff>
      <xdr:row>23</xdr:row>
      <xdr:rowOff>226358</xdr:rowOff>
    </xdr:from>
    <xdr:to>
      <xdr:col>0</xdr:col>
      <xdr:colOff>-65148983</xdr:colOff>
      <xdr:row>25</xdr:row>
      <xdr:rowOff>136711</xdr:rowOff>
    </xdr:to>
    <xdr:pic>
      <xdr:nvPicPr>
        <xdr:cNvPr id="8" name="Picture 7">
          <a:extLst>
            <a:ext uri="{FF2B5EF4-FFF2-40B4-BE49-F238E27FC236}">
              <a16:creationId xmlns:a16="http://schemas.microsoft.com/office/drawing/2014/main" id="{D73B5429-BA7B-4896-8BB6-CD31B41FC89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309706758" y="7122458"/>
          <a:ext cx="451104" cy="472328"/>
        </a:xfrm>
        <a:prstGeom prst="rect">
          <a:avLst/>
        </a:prstGeom>
      </xdr:spPr>
    </xdr:pic>
    <xdr:clientData/>
  </xdr:twoCellAnchor>
  <xdr:twoCellAnchor editAs="oneCell">
    <xdr:from>
      <xdr:col>8</xdr:col>
      <xdr:colOff>291621</xdr:colOff>
      <xdr:row>26</xdr:row>
      <xdr:rowOff>39222</xdr:rowOff>
    </xdr:from>
    <xdr:to>
      <xdr:col>8</xdr:col>
      <xdr:colOff>742725</xdr:colOff>
      <xdr:row>27</xdr:row>
      <xdr:rowOff>240928</xdr:rowOff>
    </xdr:to>
    <xdr:pic>
      <xdr:nvPicPr>
        <xdr:cNvPr id="9" name="Picture 8">
          <a:extLst>
            <a:ext uri="{FF2B5EF4-FFF2-40B4-BE49-F238E27FC236}">
              <a16:creationId xmlns:a16="http://schemas.microsoft.com/office/drawing/2014/main" id="{F89B0A48-C19A-48A9-B65A-B61713F4DA4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33956675" y="7783047"/>
          <a:ext cx="451104" cy="477931"/>
        </a:xfrm>
        <a:prstGeom prst="rect">
          <a:avLst/>
        </a:prstGeom>
      </xdr:spPr>
    </xdr:pic>
    <xdr:clientData/>
  </xdr:twoCellAnchor>
  <xdr:twoCellAnchor editAs="oneCell">
    <xdr:from>
      <xdr:col>9</xdr:col>
      <xdr:colOff>272078</xdr:colOff>
      <xdr:row>26</xdr:row>
      <xdr:rowOff>39222</xdr:rowOff>
    </xdr:from>
    <xdr:to>
      <xdr:col>9</xdr:col>
      <xdr:colOff>723182</xdr:colOff>
      <xdr:row>27</xdr:row>
      <xdr:rowOff>240928</xdr:rowOff>
    </xdr:to>
    <xdr:pic>
      <xdr:nvPicPr>
        <xdr:cNvPr id="10" name="Picture 9">
          <a:extLst>
            <a:ext uri="{FF2B5EF4-FFF2-40B4-BE49-F238E27FC236}">
              <a16:creationId xmlns:a16="http://schemas.microsoft.com/office/drawing/2014/main" id="{3981E189-79EA-4981-8168-0F516EB611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32776068" y="7783047"/>
          <a:ext cx="451104" cy="477931"/>
        </a:xfrm>
        <a:prstGeom prst="rect">
          <a:avLst/>
        </a:prstGeom>
      </xdr:spPr>
    </xdr:pic>
    <xdr:clientData/>
  </xdr:twoCellAnchor>
  <xdr:twoCellAnchor editAs="oneCell">
    <xdr:from>
      <xdr:col>10</xdr:col>
      <xdr:colOff>230123</xdr:colOff>
      <xdr:row>26</xdr:row>
      <xdr:rowOff>39222</xdr:rowOff>
    </xdr:from>
    <xdr:to>
      <xdr:col>10</xdr:col>
      <xdr:colOff>681227</xdr:colOff>
      <xdr:row>27</xdr:row>
      <xdr:rowOff>240928</xdr:rowOff>
    </xdr:to>
    <xdr:pic>
      <xdr:nvPicPr>
        <xdr:cNvPr id="11" name="Picture 10">
          <a:extLst>
            <a:ext uri="{FF2B5EF4-FFF2-40B4-BE49-F238E27FC236}">
              <a16:creationId xmlns:a16="http://schemas.microsoft.com/office/drawing/2014/main" id="{D8005887-AFF3-4D6D-B046-A287174B33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31617873" y="7783047"/>
          <a:ext cx="451104" cy="477931"/>
        </a:xfrm>
        <a:prstGeom prst="rect">
          <a:avLst/>
        </a:prstGeom>
      </xdr:spPr>
    </xdr:pic>
    <xdr:clientData/>
  </xdr:twoCellAnchor>
  <xdr:twoCellAnchor editAs="oneCell">
    <xdr:from>
      <xdr:col>11</xdr:col>
      <xdr:colOff>277815</xdr:colOff>
      <xdr:row>26</xdr:row>
      <xdr:rowOff>39222</xdr:rowOff>
    </xdr:from>
    <xdr:to>
      <xdr:col>11</xdr:col>
      <xdr:colOff>728919</xdr:colOff>
      <xdr:row>27</xdr:row>
      <xdr:rowOff>240928</xdr:rowOff>
    </xdr:to>
    <xdr:pic>
      <xdr:nvPicPr>
        <xdr:cNvPr id="12" name="Picture 11">
          <a:extLst>
            <a:ext uri="{FF2B5EF4-FFF2-40B4-BE49-F238E27FC236}">
              <a16:creationId xmlns:a16="http://schemas.microsoft.com/office/drawing/2014/main" id="{31BBC912-3436-4C41-997A-5FE44639AE7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30370031" y="7783047"/>
          <a:ext cx="451104" cy="477931"/>
        </a:xfrm>
        <a:prstGeom prst="rect">
          <a:avLst/>
        </a:prstGeom>
      </xdr:spPr>
    </xdr:pic>
    <xdr:clientData/>
  </xdr:twoCellAnchor>
  <xdr:twoCellAnchor editAs="oneCell">
    <xdr:from>
      <xdr:col>12</xdr:col>
      <xdr:colOff>258272</xdr:colOff>
      <xdr:row>26</xdr:row>
      <xdr:rowOff>39222</xdr:rowOff>
    </xdr:from>
    <xdr:to>
      <xdr:col>12</xdr:col>
      <xdr:colOff>709376</xdr:colOff>
      <xdr:row>27</xdr:row>
      <xdr:rowOff>240928</xdr:rowOff>
    </xdr:to>
    <xdr:pic>
      <xdr:nvPicPr>
        <xdr:cNvPr id="13" name="Picture 12">
          <a:extLst>
            <a:ext uri="{FF2B5EF4-FFF2-40B4-BE49-F238E27FC236}">
              <a16:creationId xmlns:a16="http://schemas.microsoft.com/office/drawing/2014/main" id="{5900E43F-D93E-4750-93A3-CCBB228D6A9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29189424" y="7783047"/>
          <a:ext cx="451104" cy="47793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arzyaby.com/" TargetMode="External"/><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279BD8-58B7-4891-867C-AEFD21040B0B}">
  <dimension ref="A1:I40"/>
  <sheetViews>
    <sheetView rightToLeft="1" tabSelected="1" zoomScale="85" zoomScaleNormal="85" workbookViewId="0">
      <selection activeCell="M18" sqref="M18"/>
    </sheetView>
  </sheetViews>
  <sheetFormatPr defaultRowHeight="14.25" x14ac:dyDescent="0.2"/>
  <cols>
    <col min="1" max="1" width="7.5" customWidth="1"/>
    <col min="2" max="2" width="11.625" customWidth="1"/>
    <col min="3" max="5" width="8.625" customWidth="1"/>
    <col min="6" max="6" width="7.75" customWidth="1"/>
    <col min="7" max="7" width="8.625" customWidth="1"/>
    <col min="8" max="8" width="10" customWidth="1"/>
    <col min="9" max="9" width="8" customWidth="1"/>
  </cols>
  <sheetData>
    <row r="1" spans="1:9" x14ac:dyDescent="0.2">
      <c r="A1" s="128"/>
      <c r="B1" s="129"/>
      <c r="C1" s="129"/>
      <c r="D1" s="129"/>
      <c r="E1" s="129"/>
      <c r="F1" s="129"/>
      <c r="G1" s="129"/>
      <c r="H1" s="129"/>
      <c r="I1" s="130"/>
    </row>
    <row r="2" spans="1:9" x14ac:dyDescent="0.2">
      <c r="A2" s="131"/>
      <c r="I2" s="132"/>
    </row>
    <row r="3" spans="1:9" x14ac:dyDescent="0.2">
      <c r="A3" s="131"/>
      <c r="I3" s="132"/>
    </row>
    <row r="4" spans="1:9" x14ac:dyDescent="0.2">
      <c r="A4" s="131"/>
      <c r="I4" s="132"/>
    </row>
    <row r="5" spans="1:9" x14ac:dyDescent="0.2">
      <c r="A5" s="131"/>
      <c r="I5" s="132"/>
    </row>
    <row r="6" spans="1:9" x14ac:dyDescent="0.2">
      <c r="A6" s="131"/>
      <c r="I6" s="132"/>
    </row>
    <row r="7" spans="1:9" x14ac:dyDescent="0.2">
      <c r="A7" s="131"/>
      <c r="I7" s="132"/>
    </row>
    <row r="8" spans="1:9" x14ac:dyDescent="0.2">
      <c r="A8" s="131"/>
      <c r="I8" s="132"/>
    </row>
    <row r="9" spans="1:9" x14ac:dyDescent="0.2">
      <c r="A9" s="131"/>
      <c r="I9" s="132"/>
    </row>
    <row r="10" spans="1:9" x14ac:dyDescent="0.2">
      <c r="A10" s="131"/>
      <c r="I10" s="132"/>
    </row>
    <row r="11" spans="1:9" x14ac:dyDescent="0.2">
      <c r="A11" s="131"/>
      <c r="I11" s="132"/>
    </row>
    <row r="12" spans="1:9" x14ac:dyDescent="0.2">
      <c r="A12" s="131"/>
      <c r="I12" s="132"/>
    </row>
    <row r="13" spans="1:9" x14ac:dyDescent="0.2">
      <c r="A13" s="131"/>
      <c r="I13" s="132"/>
    </row>
    <row r="14" spans="1:9" x14ac:dyDescent="0.2">
      <c r="A14" s="131"/>
      <c r="I14" s="132"/>
    </row>
    <row r="15" spans="1:9" x14ac:dyDescent="0.2">
      <c r="A15" s="131"/>
      <c r="I15" s="132"/>
    </row>
    <row r="16" spans="1:9" x14ac:dyDescent="0.2">
      <c r="A16" s="131"/>
      <c r="I16" s="132"/>
    </row>
    <row r="17" spans="1:9" x14ac:dyDescent="0.2">
      <c r="A17" s="131"/>
      <c r="I17" s="132"/>
    </row>
    <row r="18" spans="1:9" ht="24" x14ac:dyDescent="0.6">
      <c r="A18" s="131"/>
      <c r="B18" s="141" t="s">
        <v>207</v>
      </c>
      <c r="C18" s="245" t="s">
        <v>206</v>
      </c>
      <c r="D18" s="245"/>
      <c r="E18" s="141" t="s">
        <v>208</v>
      </c>
      <c r="F18" s="240" t="s">
        <v>209</v>
      </c>
      <c r="G18" s="240"/>
      <c r="H18" s="240"/>
      <c r="I18" s="135"/>
    </row>
    <row r="19" spans="1:9" ht="13.5" customHeight="1" x14ac:dyDescent="0.55000000000000004">
      <c r="A19" s="133"/>
      <c r="B19" s="134"/>
      <c r="C19" s="134"/>
      <c r="D19" s="134"/>
      <c r="E19" s="134"/>
      <c r="F19" s="134"/>
      <c r="G19" s="134"/>
      <c r="H19" s="134"/>
      <c r="I19" s="135"/>
    </row>
    <row r="20" spans="1:9" ht="22.5" customHeight="1" x14ac:dyDescent="0.55000000000000004">
      <c r="A20" s="133"/>
      <c r="B20" s="244" t="s">
        <v>394</v>
      </c>
      <c r="C20" s="244"/>
      <c r="D20" s="244"/>
      <c r="E20" s="244"/>
      <c r="F20" s="244"/>
      <c r="G20" s="244"/>
      <c r="H20" s="244"/>
      <c r="I20" s="135"/>
    </row>
    <row r="21" spans="1:9" ht="22.5" x14ac:dyDescent="0.55000000000000004">
      <c r="A21" s="133"/>
      <c r="B21" s="244"/>
      <c r="C21" s="244"/>
      <c r="D21" s="244"/>
      <c r="E21" s="244"/>
      <c r="F21" s="244"/>
      <c r="G21" s="244"/>
      <c r="H21" s="244"/>
      <c r="I21" s="135"/>
    </row>
    <row r="22" spans="1:9" ht="22.5" x14ac:dyDescent="0.55000000000000004">
      <c r="A22" s="133"/>
      <c r="B22" s="244"/>
      <c r="C22" s="244"/>
      <c r="D22" s="244"/>
      <c r="E22" s="244"/>
      <c r="F22" s="244"/>
      <c r="G22" s="244"/>
      <c r="H22" s="244"/>
      <c r="I22" s="135"/>
    </row>
    <row r="23" spans="1:9" ht="13.5" customHeight="1" x14ac:dyDescent="0.55000000000000004">
      <c r="A23" s="133"/>
      <c r="B23" s="134"/>
      <c r="C23" s="134"/>
      <c r="D23" s="134"/>
      <c r="E23" s="134"/>
      <c r="F23" s="134"/>
      <c r="G23" s="134"/>
      <c r="H23" s="134"/>
      <c r="I23" s="135"/>
    </row>
    <row r="24" spans="1:9" ht="24" x14ac:dyDescent="0.6">
      <c r="A24" s="133"/>
      <c r="B24" s="139"/>
      <c r="C24" s="139"/>
      <c r="D24" s="139"/>
      <c r="E24" s="139"/>
      <c r="F24" s="139"/>
      <c r="G24" s="139"/>
      <c r="H24" s="139"/>
      <c r="I24" s="135"/>
    </row>
    <row r="25" spans="1:9" ht="24" customHeight="1" x14ac:dyDescent="0.6">
      <c r="A25" s="133"/>
      <c r="B25" s="233" t="s">
        <v>211</v>
      </c>
      <c r="C25" s="233"/>
      <c r="D25" s="233"/>
      <c r="E25" s="233"/>
      <c r="F25" s="233"/>
      <c r="G25" s="233"/>
      <c r="H25" s="233"/>
      <c r="I25" s="135"/>
    </row>
    <row r="26" spans="1:9" ht="22.5" x14ac:dyDescent="0.55000000000000004">
      <c r="A26" s="133"/>
      <c r="B26" s="241" t="s">
        <v>215</v>
      </c>
      <c r="C26" s="242"/>
      <c r="D26" s="242"/>
      <c r="E26" s="242"/>
      <c r="F26" s="242"/>
      <c r="G26" s="242"/>
      <c r="H26" s="243"/>
      <c r="I26" s="135"/>
    </row>
    <row r="27" spans="1:9" ht="22.5" x14ac:dyDescent="0.55000000000000004">
      <c r="A27" s="133"/>
      <c r="B27" s="234" t="s">
        <v>212</v>
      </c>
      <c r="C27" s="235"/>
      <c r="D27" s="235"/>
      <c r="E27" s="235"/>
      <c r="F27" s="235"/>
      <c r="G27" s="235"/>
      <c r="H27" s="236"/>
      <c r="I27" s="135"/>
    </row>
    <row r="28" spans="1:9" ht="22.5" x14ac:dyDescent="0.55000000000000004">
      <c r="A28" s="133"/>
      <c r="B28" s="234" t="s">
        <v>213</v>
      </c>
      <c r="C28" s="235"/>
      <c r="D28" s="235"/>
      <c r="E28" s="235"/>
      <c r="F28" s="235"/>
      <c r="G28" s="235"/>
      <c r="H28" s="236"/>
      <c r="I28" s="135"/>
    </row>
    <row r="29" spans="1:9" ht="22.5" x14ac:dyDescent="0.55000000000000004">
      <c r="A29" s="133"/>
      <c r="B29" s="234" t="s">
        <v>214</v>
      </c>
      <c r="C29" s="235"/>
      <c r="D29" s="235"/>
      <c r="E29" s="235"/>
      <c r="F29" s="235"/>
      <c r="G29" s="235"/>
      <c r="H29" s="236"/>
      <c r="I29" s="135"/>
    </row>
    <row r="30" spans="1:9" ht="22.5" x14ac:dyDescent="0.55000000000000004">
      <c r="A30" s="133"/>
      <c r="B30" s="234" t="s">
        <v>392</v>
      </c>
      <c r="C30" s="235"/>
      <c r="D30" s="235"/>
      <c r="E30" s="235"/>
      <c r="F30" s="235"/>
      <c r="G30" s="235"/>
      <c r="H30" s="236"/>
      <c r="I30" s="135"/>
    </row>
    <row r="31" spans="1:9" ht="22.5" x14ac:dyDescent="0.55000000000000004">
      <c r="A31" s="133"/>
      <c r="B31" s="234" t="s">
        <v>393</v>
      </c>
      <c r="C31" s="235"/>
      <c r="D31" s="235"/>
      <c r="E31" s="235"/>
      <c r="F31" s="235"/>
      <c r="G31" s="235"/>
      <c r="H31" s="236"/>
      <c r="I31" s="135"/>
    </row>
    <row r="32" spans="1:9" ht="22.5" x14ac:dyDescent="0.55000000000000004">
      <c r="A32" s="133"/>
      <c r="B32" s="234" t="s">
        <v>426</v>
      </c>
      <c r="C32" s="235"/>
      <c r="D32" s="235"/>
      <c r="E32" s="235"/>
      <c r="F32" s="235"/>
      <c r="G32" s="235"/>
      <c r="H32" s="236"/>
      <c r="I32" s="135"/>
    </row>
    <row r="33" spans="1:9" ht="22.5" x14ac:dyDescent="0.55000000000000004">
      <c r="A33" s="133"/>
      <c r="B33" s="237" t="s">
        <v>427</v>
      </c>
      <c r="C33" s="238"/>
      <c r="D33" s="238"/>
      <c r="E33" s="238"/>
      <c r="F33" s="238"/>
      <c r="G33" s="238"/>
      <c r="H33" s="239"/>
      <c r="I33" s="135"/>
    </row>
    <row r="34" spans="1:9" ht="22.5" x14ac:dyDescent="0.55000000000000004">
      <c r="A34" s="133"/>
      <c r="B34" s="134"/>
      <c r="C34" s="134"/>
      <c r="D34" s="134"/>
      <c r="E34" s="134"/>
      <c r="F34" s="134"/>
      <c r="G34" s="134"/>
      <c r="H34" s="134"/>
      <c r="I34" s="135"/>
    </row>
    <row r="35" spans="1:9" ht="22.5" x14ac:dyDescent="0.55000000000000004">
      <c r="A35" s="133"/>
      <c r="B35" s="134"/>
      <c r="C35" s="134"/>
      <c r="D35" s="134"/>
      <c r="E35" s="134"/>
      <c r="F35" s="134"/>
      <c r="G35" s="134"/>
      <c r="H35" s="134"/>
      <c r="I35" s="135"/>
    </row>
    <row r="36" spans="1:9" ht="22.5" x14ac:dyDescent="0.55000000000000004">
      <c r="A36" s="133"/>
      <c r="B36" s="134"/>
      <c r="C36" s="134"/>
      <c r="D36" s="134"/>
      <c r="E36" s="134"/>
      <c r="F36" s="134"/>
      <c r="G36" s="134"/>
      <c r="H36" s="134"/>
      <c r="I36" s="135"/>
    </row>
    <row r="37" spans="1:9" ht="22.5" x14ac:dyDescent="0.55000000000000004">
      <c r="A37" s="133"/>
      <c r="B37" s="134"/>
      <c r="C37" s="134"/>
      <c r="D37" s="134"/>
      <c r="E37" s="134"/>
      <c r="F37" s="134"/>
      <c r="G37" s="134"/>
      <c r="H37" s="134"/>
      <c r="I37" s="135"/>
    </row>
    <row r="38" spans="1:9" ht="22.5" x14ac:dyDescent="0.55000000000000004">
      <c r="A38" s="133"/>
      <c r="B38" s="134"/>
      <c r="C38" s="134"/>
      <c r="D38" s="134"/>
      <c r="E38" s="134"/>
      <c r="F38" s="134"/>
      <c r="G38" s="134"/>
      <c r="H38" s="134"/>
      <c r="I38" s="135"/>
    </row>
    <row r="39" spans="1:9" ht="24" x14ac:dyDescent="0.6">
      <c r="A39" s="133"/>
      <c r="B39" s="232" t="s">
        <v>210</v>
      </c>
      <c r="C39" s="232"/>
      <c r="D39" s="232"/>
      <c r="E39" s="232"/>
      <c r="F39" s="232"/>
      <c r="G39" s="232"/>
      <c r="H39" s="232"/>
      <c r="I39" s="135"/>
    </row>
    <row r="40" spans="1:9" ht="23.25" thickBot="1" x14ac:dyDescent="0.6">
      <c r="A40" s="136"/>
      <c r="B40" s="137"/>
      <c r="C40" s="137"/>
      <c r="D40" s="137"/>
      <c r="E40" s="137"/>
      <c r="F40" s="137"/>
      <c r="G40" s="137"/>
      <c r="H40" s="137"/>
      <c r="I40" s="138"/>
    </row>
  </sheetData>
  <sheetProtection algorithmName="SHA-512" hashValue="MfIliUnPNfMjX/L7lYuEWm9uWcqV203+XlptpLa4ZnIVYZ5zWjhmTuusLly1DZUQVc+h/ksuFc4bEo8Nkff6GQ==" saltValue="AL6kfvZorqRJjb+Xz6MCRg==" spinCount="100000" sheet="1" objects="1" scenarios="1"/>
  <customSheetViews>
    <customSheetView guid="{2AB27FB0-6750-413F-B436-DA6A7082F863}" showPageBreaks="1" printArea="1" view="pageLayout">
      <selection sqref="A1:I39"/>
      <pageMargins left="0.7" right="0.7" top="0.75" bottom="0.75" header="0.3" footer="0.3"/>
      <pageSetup paperSize="9" orientation="portrait" r:id="rId1"/>
    </customSheetView>
  </customSheetViews>
  <mergeCells count="13">
    <mergeCell ref="F18:H18"/>
    <mergeCell ref="B26:H26"/>
    <mergeCell ref="B27:H27"/>
    <mergeCell ref="B28:H28"/>
    <mergeCell ref="B29:H29"/>
    <mergeCell ref="B20:H22"/>
    <mergeCell ref="C18:D18"/>
    <mergeCell ref="B39:H39"/>
    <mergeCell ref="B25:H25"/>
    <mergeCell ref="B30:H30"/>
    <mergeCell ref="B31:H31"/>
    <mergeCell ref="B32:H32"/>
    <mergeCell ref="B33:H33"/>
  </mergeCells>
  <hyperlinks>
    <hyperlink ref="F18" r:id="rId2" xr:uid="{BB2A3700-9D9D-4E9F-A988-D36D4677F9A9}"/>
    <hyperlink ref="B26" location="زمين!A1" display="1- متوسط  قيمت فروش يك مترمربع زمين يا زمين ساختمان مسكوني كلنگي به تفکیک مناطق شهرداري تهران (هزار ريال)" xr:uid="{DDF8C9F7-B5AA-4CCA-AA26-D2CC306B25F3}"/>
    <hyperlink ref="B27" location="بنا!A1" display="2- قيمت فروش يك مترمربع زيربناي مسكوني به تفکیک مناطق شهرداري تهران (هزار ريال)" xr:uid="{2C2AA518-53E5-4716-9D4A-2481BFCFBF7F}"/>
    <hyperlink ref="B28" location="اجاره!A1" display="3- متوسط مبلغ اجاره‎ي ماهانه به‌علاوه‎ي سه‌ درصد وديعه‎ي پرداختي برای اجاره‎ي يك مترمربع زيربناي مسكوني به تفکیک مناطق شهرداري تهران (ريال)" xr:uid="{BFCC19EB-2FE2-4B43-859D-DD614707E217}"/>
    <hyperlink ref="B29" location="'تعداد معاملات'!A1" display="4-تعداد معاملات" xr:uid="{30921A3D-FAD7-4E66-8216-F2CA3FABD7A5}"/>
    <hyperlink ref="B32" location="بنا!A1" display="2- قيمت فروش يك مترمربع زيربناي مسكوني به تفکیک مناطق شهرداري تهران (هزار ريال)" xr:uid="{D0B70B71-6F95-4364-ABC4-B882E3F604CC}"/>
    <hyperlink ref="B30" location="زمين!A1" display="1- متوسط  قيمت فروش يك مترمربع زمين يا زمين ساختمان مسكوني كلنگي به تفکیک مناطق شهرداري تهران (هزار ريال)" xr:uid="{C86CA926-C473-48E2-8414-94F3B81091B9}"/>
    <hyperlink ref="B31" location="بنا!A1" display="2- قيمت فروش يك مترمربع زيربناي مسكوني به تفکیک مناطق شهرداري تهران (هزار ريال)" xr:uid="{2FCECAE1-E302-4373-8B31-3AD55405472C}"/>
    <hyperlink ref="B26:H26" location="'محاسبه سهم العرصه'!A1" display="1- محاسبه سهم العرصه واحد (قدر السهم واحد)" xr:uid="{1C3BF55D-E95E-4613-A9B8-01B289F4E8B4}"/>
    <hyperlink ref="B27:H27" location="'ارزیابی اراضی-1'!A1" display="2- ارزیابی اراضی غیرمزروعی  (روش 1)" xr:uid="{64B4F492-2CB2-4DD0-BC67-0C81FE61758D}"/>
    <hyperlink ref="B28:H28" location="'ارزیابی اراضی-2'!A1" display="3- ارزیابی اراضی غیرمزروعی (روش 2)" xr:uid="{ADFFE6DC-1AD3-497C-9514-ACC82DB09ED3}"/>
    <hyperlink ref="B29:H29" location="'سهم واحدهای مجتمع تعاونی'!Print_Area" display="4- تعیین سهم واحدهای یک مجتمع تعاونی ساز" xr:uid="{0CEEE9D3-AC54-4C35-8427-5A5E8DA9D3ED}"/>
    <hyperlink ref="B30:H30" location="'محاسبه اجرت المثل'!A1" display="5- محاسبه اجرت المثل" xr:uid="{0E65FAE6-E975-4E35-83EA-EE00374418A7}"/>
    <hyperlink ref="B31:H31" location="'ارزیابی واحد تجاری'!A1" display="6- ارزیابی واحد تجاری" xr:uid="{A1A630C4-E543-479D-97D6-71C8A20641CD}"/>
    <hyperlink ref="B32:H32" location="'ارزیابی سرقفلی'!A1" display="7- ارزیابی سرقفلی واحد تجاری" xr:uid="{1CF54E88-21A0-4D40-8FCA-20960BF106D0}"/>
    <hyperlink ref="B33:H33" location="'ارزیابی جامع واحد تجاری'!Print_Area" display="8- ارزیابی جامع واحد تجاری" xr:uid="{BB72DEBE-17BD-4552-BD2B-1F52A37E41D5}"/>
  </hyperlinks>
  <pageMargins left="0.7" right="0.7" top="0.75" bottom="0.75" header="0.3" footer="0.3"/>
  <pageSetup paperSize="9" orientation="portrait" r:id="rId3"/>
  <ignoredErrors>
    <ignoredError sqref="C18" numberStoredAsText="1"/>
  </ignoredErrors>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8C38F-3444-431F-A08A-CF95FB4DCCD8}">
  <sheetPr>
    <pageSetUpPr fitToPage="1"/>
  </sheetPr>
  <dimension ref="A1:S53"/>
  <sheetViews>
    <sheetView rightToLeft="1" zoomScale="85" zoomScaleNormal="85" workbookViewId="0">
      <selection activeCell="M8" sqref="M8"/>
    </sheetView>
  </sheetViews>
  <sheetFormatPr defaultRowHeight="14.25" x14ac:dyDescent="0.2"/>
  <cols>
    <col min="1" max="1" width="19.125" customWidth="1"/>
    <col min="2" max="13" width="15.75" customWidth="1"/>
    <col min="14" max="14" width="18" customWidth="1"/>
    <col min="15" max="15" width="18.75" customWidth="1"/>
    <col min="16" max="16" width="12.625" customWidth="1"/>
    <col min="19" max="19" width="5.875" customWidth="1"/>
  </cols>
  <sheetData>
    <row r="1" spans="1:15" ht="40.5" x14ac:dyDescent="0.2">
      <c r="A1" s="309" t="s">
        <v>395</v>
      </c>
      <c r="B1" s="310"/>
      <c r="C1" s="310"/>
      <c r="D1" s="310"/>
      <c r="E1" s="310"/>
      <c r="F1" s="310"/>
      <c r="G1" s="310"/>
      <c r="H1" s="310"/>
      <c r="I1" s="310"/>
      <c r="J1" s="310"/>
      <c r="K1" s="310"/>
      <c r="L1" s="310"/>
      <c r="M1" s="310"/>
      <c r="N1" s="310"/>
      <c r="O1" s="311"/>
    </row>
    <row r="2" spans="1:15" ht="24.75" x14ac:dyDescent="0.6">
      <c r="A2" s="341" t="s">
        <v>396</v>
      </c>
      <c r="B2" s="341"/>
      <c r="C2" s="341"/>
      <c r="D2" s="341"/>
      <c r="E2" s="341"/>
      <c r="F2" s="341"/>
      <c r="G2" s="341"/>
      <c r="H2" s="341"/>
      <c r="I2" s="341"/>
      <c r="J2" s="341"/>
      <c r="K2" s="341"/>
      <c r="L2" s="341"/>
      <c r="M2" s="341"/>
      <c r="N2" s="341"/>
      <c r="O2" s="341"/>
    </row>
    <row r="3" spans="1:15" s="192" customFormat="1" ht="14.25" customHeight="1" x14ac:dyDescent="0.5">
      <c r="A3" s="191"/>
      <c r="B3" s="191"/>
      <c r="C3" s="191"/>
      <c r="D3" s="191"/>
      <c r="E3" s="191"/>
      <c r="F3" s="191"/>
      <c r="G3" s="191"/>
      <c r="H3" s="191"/>
      <c r="I3" s="191"/>
      <c r="J3" s="191"/>
      <c r="K3" s="191"/>
      <c r="L3" s="191"/>
      <c r="M3" s="191"/>
      <c r="N3" s="191"/>
      <c r="O3" s="191"/>
    </row>
    <row r="4" spans="1:15" s="192" customFormat="1" ht="22.5" x14ac:dyDescent="0.55000000000000004">
      <c r="A4" s="342" t="s">
        <v>355</v>
      </c>
      <c r="B4" s="342"/>
      <c r="C4" s="342"/>
      <c r="D4" s="342"/>
      <c r="E4" s="342"/>
      <c r="F4" s="342"/>
      <c r="G4" s="193">
        <v>0.85</v>
      </c>
      <c r="H4" s="343" t="s">
        <v>356</v>
      </c>
      <c r="I4" s="343"/>
      <c r="J4" s="343"/>
      <c r="K4" s="343"/>
      <c r="M4" s="194"/>
    </row>
    <row r="5" spans="1:15" s="192" customFormat="1" ht="22.5" x14ac:dyDescent="0.55000000000000004">
      <c r="A5" s="342" t="s">
        <v>357</v>
      </c>
      <c r="B5" s="342"/>
      <c r="C5" s="342"/>
      <c r="D5" s="342"/>
      <c r="E5" s="342"/>
      <c r="F5" s="342"/>
      <c r="G5" s="193">
        <v>0.8</v>
      </c>
      <c r="H5" s="343" t="s">
        <v>358</v>
      </c>
      <c r="I5" s="343"/>
      <c r="J5" s="343"/>
      <c r="K5" s="343"/>
      <c r="M5" s="194"/>
    </row>
    <row r="6" spans="1:15" s="192" customFormat="1" ht="22.5" x14ac:dyDescent="0.55000000000000004">
      <c r="A6" s="344" t="s">
        <v>359</v>
      </c>
      <c r="B6" s="344"/>
      <c r="C6" s="344"/>
      <c r="D6" s="344"/>
      <c r="E6" s="344"/>
      <c r="F6" s="344"/>
      <c r="G6" s="195">
        <f>1-G5</f>
        <v>0.19999999999999996</v>
      </c>
      <c r="H6" s="343" t="s">
        <v>358</v>
      </c>
      <c r="I6" s="343"/>
      <c r="J6" s="343"/>
      <c r="K6" s="343"/>
      <c r="M6" s="194"/>
    </row>
    <row r="7" spans="1:15" s="192" customFormat="1" ht="22.5" x14ac:dyDescent="0.55000000000000004">
      <c r="A7" s="342" t="s">
        <v>360</v>
      </c>
      <c r="B7" s="342"/>
      <c r="C7" s="342"/>
      <c r="D7" s="342"/>
      <c r="E7" s="342"/>
      <c r="F7" s="342"/>
      <c r="G7" s="193">
        <v>0.03</v>
      </c>
      <c r="H7" s="343" t="s">
        <v>361</v>
      </c>
      <c r="I7" s="343"/>
      <c r="J7" s="343"/>
      <c r="K7" s="343"/>
      <c r="L7" s="191"/>
      <c r="M7" s="194"/>
      <c r="N7" s="191"/>
      <c r="O7" s="191"/>
    </row>
    <row r="8" spans="1:15" s="192" customFormat="1" ht="22.5" x14ac:dyDescent="0.55000000000000004">
      <c r="A8" s="342" t="s">
        <v>362</v>
      </c>
      <c r="B8" s="342"/>
      <c r="C8" s="342"/>
      <c r="D8" s="342"/>
      <c r="E8" s="342"/>
      <c r="F8" s="342"/>
      <c r="G8" s="193">
        <v>0.06</v>
      </c>
      <c r="H8" s="343" t="s">
        <v>361</v>
      </c>
      <c r="I8" s="343"/>
      <c r="J8" s="343"/>
      <c r="K8" s="343"/>
      <c r="L8" s="191"/>
      <c r="M8" s="194"/>
      <c r="N8" s="191"/>
      <c r="O8" s="191"/>
    </row>
    <row r="9" spans="1:15" s="192" customFormat="1" ht="22.5" x14ac:dyDescent="0.55000000000000004">
      <c r="A9" s="342" t="s">
        <v>363</v>
      </c>
      <c r="B9" s="342"/>
      <c r="C9" s="342"/>
      <c r="D9" s="342"/>
      <c r="E9" s="342"/>
      <c r="F9" s="342"/>
      <c r="G9" s="196">
        <v>400000000</v>
      </c>
      <c r="H9" s="343" t="s">
        <v>364</v>
      </c>
      <c r="I9" s="343"/>
      <c r="J9" s="343"/>
      <c r="K9" s="343"/>
      <c r="L9" s="191"/>
      <c r="M9" s="194"/>
      <c r="N9" s="191"/>
      <c r="O9" s="191"/>
    </row>
    <row r="10" spans="1:15" s="192" customFormat="1" ht="22.5" x14ac:dyDescent="0.55000000000000004">
      <c r="A10" s="342" t="s">
        <v>365</v>
      </c>
      <c r="B10" s="342"/>
      <c r="C10" s="342"/>
      <c r="D10" s="342"/>
      <c r="E10" s="342"/>
      <c r="F10" s="342"/>
      <c r="G10" s="196">
        <v>200000000</v>
      </c>
      <c r="H10" s="343" t="s">
        <v>366</v>
      </c>
      <c r="I10" s="343"/>
      <c r="J10" s="343"/>
      <c r="K10" s="343"/>
      <c r="L10" s="191"/>
      <c r="M10" s="194"/>
      <c r="N10" s="191"/>
      <c r="O10" s="191"/>
    </row>
    <row r="11" spans="1:15" s="192" customFormat="1" ht="18" customHeight="1" x14ac:dyDescent="0.5">
      <c r="A11" s="197"/>
      <c r="B11" s="197"/>
      <c r="C11" s="197"/>
      <c r="D11" s="197"/>
      <c r="E11" s="197"/>
      <c r="F11" s="197"/>
      <c r="G11" s="197"/>
      <c r="H11" s="198"/>
      <c r="I11" s="198"/>
      <c r="J11" s="198"/>
      <c r="K11" s="199"/>
      <c r="L11" s="198"/>
      <c r="M11" s="198"/>
      <c r="N11" s="198"/>
      <c r="O11" s="198"/>
    </row>
    <row r="12" spans="1:15" ht="22.5" customHeight="1" x14ac:dyDescent="0.55000000000000004">
      <c r="A12" s="345" t="s">
        <v>322</v>
      </c>
      <c r="B12" s="346" t="s">
        <v>367</v>
      </c>
      <c r="C12" s="346"/>
      <c r="D12" s="346"/>
      <c r="E12" s="346"/>
      <c r="F12" s="346"/>
      <c r="G12" s="347" t="s">
        <v>368</v>
      </c>
      <c r="H12" s="348"/>
      <c r="I12" s="5"/>
      <c r="J12" s="5"/>
      <c r="K12" s="5"/>
      <c r="L12" s="5"/>
      <c r="M12" s="5"/>
      <c r="N12" s="5"/>
      <c r="O12" s="5"/>
    </row>
    <row r="13" spans="1:15" ht="22.5" customHeight="1" x14ac:dyDescent="0.55000000000000004">
      <c r="A13" s="345"/>
      <c r="B13" s="349" t="s">
        <v>331</v>
      </c>
      <c r="C13" s="349" t="s">
        <v>369</v>
      </c>
      <c r="D13" s="350" t="s">
        <v>370</v>
      </c>
      <c r="E13" s="350"/>
      <c r="F13" s="350"/>
      <c r="G13" s="351" t="s">
        <v>371</v>
      </c>
      <c r="H13" s="351" t="s">
        <v>372</v>
      </c>
      <c r="I13" s="5"/>
      <c r="J13" s="5"/>
      <c r="K13" s="5"/>
      <c r="L13" s="5"/>
      <c r="M13" s="5"/>
      <c r="N13" s="5"/>
      <c r="O13" s="5"/>
    </row>
    <row r="14" spans="1:15" ht="40.5" customHeight="1" x14ac:dyDescent="0.2">
      <c r="A14" s="345"/>
      <c r="B14" s="349"/>
      <c r="C14" s="349"/>
      <c r="D14" s="200" t="s">
        <v>373</v>
      </c>
      <c r="E14" s="200" t="s">
        <v>374</v>
      </c>
      <c r="F14" s="200" t="s">
        <v>375</v>
      </c>
      <c r="G14" s="352"/>
      <c r="H14" s="352"/>
      <c r="I14" s="5"/>
      <c r="J14" s="5"/>
      <c r="K14" s="5"/>
      <c r="L14" s="5"/>
      <c r="M14" s="5"/>
      <c r="N14" s="5"/>
      <c r="O14" s="5"/>
    </row>
    <row r="15" spans="1:15" ht="22.5" customHeight="1" x14ac:dyDescent="0.2">
      <c r="A15" s="154" t="s">
        <v>8</v>
      </c>
      <c r="B15" s="201">
        <v>80000000000</v>
      </c>
      <c r="C15" s="201">
        <v>0</v>
      </c>
      <c r="D15" s="201">
        <v>0</v>
      </c>
      <c r="E15" s="201">
        <v>0</v>
      </c>
      <c r="F15" s="201">
        <f>D15+E15*G$7</f>
        <v>0</v>
      </c>
      <c r="G15" s="201">
        <f>MAX(C15,B15*G$5,F15*12/G$8)</f>
        <v>64000000000</v>
      </c>
      <c r="H15" s="201">
        <f>G15/G$5</f>
        <v>80000000000</v>
      </c>
      <c r="I15" s="5"/>
      <c r="J15" s="5"/>
      <c r="K15" s="5"/>
      <c r="L15" s="5"/>
      <c r="M15" s="5"/>
      <c r="N15" s="5"/>
      <c r="O15" s="5"/>
    </row>
    <row r="16" spans="1:15" ht="22.5" customHeight="1" x14ac:dyDescent="0.2">
      <c r="A16" s="154" t="s">
        <v>9</v>
      </c>
      <c r="B16" s="201">
        <v>0</v>
      </c>
      <c r="C16" s="201">
        <v>57600000000</v>
      </c>
      <c r="D16" s="201">
        <v>0</v>
      </c>
      <c r="E16" s="201">
        <v>0</v>
      </c>
      <c r="F16" s="201">
        <f t="shared" ref="F16:F17" si="0">D16+E16*G$7</f>
        <v>0</v>
      </c>
      <c r="G16" s="201">
        <f t="shared" ref="G16:G17" si="1">MAX(C16,B16*G$5,F16*12/G$8)</f>
        <v>57600000000</v>
      </c>
      <c r="H16" s="201">
        <f t="shared" ref="H16:H17" si="2">G16/G$5</f>
        <v>72000000000</v>
      </c>
      <c r="I16" s="5"/>
      <c r="J16" s="5"/>
      <c r="K16" s="5"/>
      <c r="L16" s="5"/>
      <c r="M16" s="5"/>
      <c r="N16" s="5"/>
      <c r="O16" s="5"/>
    </row>
    <row r="17" spans="1:16" ht="22.5" customHeight="1" x14ac:dyDescent="0.2">
      <c r="A17" s="154" t="s">
        <v>10</v>
      </c>
      <c r="B17" s="201">
        <v>0</v>
      </c>
      <c r="C17" s="201">
        <v>0</v>
      </c>
      <c r="D17" s="201">
        <v>220000000</v>
      </c>
      <c r="E17" s="201">
        <v>2800000000</v>
      </c>
      <c r="F17" s="201">
        <f t="shared" si="0"/>
        <v>304000000</v>
      </c>
      <c r="G17" s="201">
        <f t="shared" si="1"/>
        <v>60800000000</v>
      </c>
      <c r="H17" s="201">
        <f t="shared" si="2"/>
        <v>76000000000</v>
      </c>
      <c r="I17" s="5"/>
      <c r="J17" s="5"/>
      <c r="K17" s="5"/>
      <c r="L17" s="5"/>
      <c r="M17" s="5"/>
      <c r="N17" s="5"/>
      <c r="O17" s="5"/>
    </row>
    <row r="18" spans="1:16" ht="18" customHeight="1" x14ac:dyDescent="0.2">
      <c r="H18" s="5"/>
      <c r="I18" s="5"/>
      <c r="J18" s="5"/>
      <c r="K18" s="5"/>
      <c r="L18" s="5"/>
      <c r="M18" s="5"/>
      <c r="N18" s="5"/>
      <c r="O18" s="5"/>
    </row>
    <row r="19" spans="1:16" ht="24.75" customHeight="1" x14ac:dyDescent="0.2">
      <c r="A19" s="312" t="s">
        <v>321</v>
      </c>
      <c r="B19" s="312"/>
      <c r="C19" s="312"/>
      <c r="D19" s="312"/>
      <c r="E19" s="312"/>
      <c r="F19" s="312"/>
      <c r="G19" s="312"/>
      <c r="H19" s="312"/>
      <c r="I19" s="312"/>
      <c r="J19" s="312"/>
      <c r="K19" s="312"/>
      <c r="L19" s="312"/>
      <c r="M19" s="312"/>
      <c r="N19" s="312"/>
      <c r="O19" s="312"/>
    </row>
    <row r="20" spans="1:16" ht="24.75" customHeight="1" x14ac:dyDescent="0.2">
      <c r="A20" s="313" t="s">
        <v>322</v>
      </c>
      <c r="B20" s="314" t="s">
        <v>323</v>
      </c>
      <c r="C20" s="314" t="s">
        <v>324</v>
      </c>
      <c r="D20" s="315" t="s">
        <v>325</v>
      </c>
      <c r="E20" s="315" t="s">
        <v>326</v>
      </c>
      <c r="F20" s="315" t="s">
        <v>327</v>
      </c>
      <c r="G20" s="316" t="s">
        <v>328</v>
      </c>
      <c r="H20" s="316"/>
      <c r="I20" s="316" t="s">
        <v>329</v>
      </c>
      <c r="J20" s="316"/>
      <c r="K20" s="314" t="s">
        <v>7</v>
      </c>
      <c r="L20" s="314" t="s">
        <v>330</v>
      </c>
      <c r="M20" s="315" t="s">
        <v>103</v>
      </c>
      <c r="N20" s="315" t="s">
        <v>376</v>
      </c>
      <c r="O20" s="315" t="s">
        <v>377</v>
      </c>
    </row>
    <row r="21" spans="1:16" ht="27" customHeight="1" x14ac:dyDescent="0.2">
      <c r="A21" s="313"/>
      <c r="B21" s="314"/>
      <c r="C21" s="314"/>
      <c r="D21" s="315"/>
      <c r="E21" s="315"/>
      <c r="F21" s="315"/>
      <c r="G21" s="153" t="s">
        <v>333</v>
      </c>
      <c r="H21" s="153" t="s">
        <v>334</v>
      </c>
      <c r="I21" s="153" t="s">
        <v>333</v>
      </c>
      <c r="J21" s="153" t="s">
        <v>334</v>
      </c>
      <c r="K21" s="314"/>
      <c r="L21" s="314"/>
      <c r="M21" s="315"/>
      <c r="N21" s="315"/>
      <c r="O21" s="315"/>
    </row>
    <row r="22" spans="1:16" ht="21.75" x14ac:dyDescent="0.2">
      <c r="A22" s="154" t="s">
        <v>8</v>
      </c>
      <c r="B22" s="155">
        <v>5</v>
      </c>
      <c r="C22" s="155">
        <v>7</v>
      </c>
      <c r="D22" s="155">
        <v>3.5</v>
      </c>
      <c r="E22" s="155">
        <v>40</v>
      </c>
      <c r="F22" s="156" t="s">
        <v>335</v>
      </c>
      <c r="G22" s="156">
        <v>1</v>
      </c>
      <c r="H22" s="156">
        <v>0</v>
      </c>
      <c r="I22" s="156">
        <v>0</v>
      </c>
      <c r="J22" s="156">
        <v>0</v>
      </c>
      <c r="K22" s="154" t="s">
        <v>33</v>
      </c>
      <c r="L22" s="154" t="s">
        <v>21</v>
      </c>
      <c r="M22" s="154"/>
      <c r="N22" s="157">
        <f>B22*C22</f>
        <v>35</v>
      </c>
      <c r="O22" s="157">
        <f>G15/N22</f>
        <v>1828571428.5714285</v>
      </c>
    </row>
    <row r="23" spans="1:16" ht="21.75" x14ac:dyDescent="0.2">
      <c r="A23" s="154" t="s">
        <v>9</v>
      </c>
      <c r="B23" s="155">
        <v>4</v>
      </c>
      <c r="C23" s="155">
        <v>6.5</v>
      </c>
      <c r="D23" s="155">
        <v>4.5</v>
      </c>
      <c r="E23" s="155">
        <v>30</v>
      </c>
      <c r="F23" s="156" t="s">
        <v>335</v>
      </c>
      <c r="G23" s="156">
        <v>1</v>
      </c>
      <c r="H23" s="156">
        <v>0</v>
      </c>
      <c r="I23" s="156">
        <v>0</v>
      </c>
      <c r="J23" s="156">
        <v>0</v>
      </c>
      <c r="K23" s="154" t="s">
        <v>33</v>
      </c>
      <c r="L23" s="154" t="s">
        <v>336</v>
      </c>
      <c r="M23" s="154"/>
      <c r="N23" s="157">
        <f t="shared" ref="N23:N24" si="3">B23*C23</f>
        <v>26</v>
      </c>
      <c r="O23" s="157">
        <f t="shared" ref="O23:O24" si="4">G16/N23</f>
        <v>2215384615.3846154</v>
      </c>
    </row>
    <row r="24" spans="1:16" ht="21.75" x14ac:dyDescent="0.2">
      <c r="A24" s="154" t="s">
        <v>10</v>
      </c>
      <c r="B24" s="155">
        <v>3.6</v>
      </c>
      <c r="C24" s="155">
        <v>10</v>
      </c>
      <c r="D24" s="155">
        <v>4.2</v>
      </c>
      <c r="E24" s="155">
        <f>B24*C24/0.9</f>
        <v>40</v>
      </c>
      <c r="F24" s="156" t="s">
        <v>335</v>
      </c>
      <c r="G24" s="156">
        <v>1</v>
      </c>
      <c r="H24" s="156">
        <v>0</v>
      </c>
      <c r="I24" s="156">
        <v>0</v>
      </c>
      <c r="J24" s="156">
        <v>0</v>
      </c>
      <c r="K24" s="154" t="s">
        <v>33</v>
      </c>
      <c r="L24" s="154" t="s">
        <v>21</v>
      </c>
      <c r="M24" s="154"/>
      <c r="N24" s="157">
        <f t="shared" si="3"/>
        <v>36</v>
      </c>
      <c r="O24" s="157">
        <f t="shared" si="4"/>
        <v>1688888888.8888888</v>
      </c>
    </row>
    <row r="25" spans="1:16" ht="22.5" x14ac:dyDescent="0.2">
      <c r="A25" s="158" t="s">
        <v>337</v>
      </c>
      <c r="B25" s="159">
        <v>3.5</v>
      </c>
      <c r="C25" s="159">
        <v>6</v>
      </c>
      <c r="D25" s="159">
        <v>3.5</v>
      </c>
      <c r="E25" s="159">
        <v>24</v>
      </c>
      <c r="F25" s="160" t="s">
        <v>335</v>
      </c>
      <c r="G25" s="160">
        <v>1</v>
      </c>
      <c r="H25" s="160">
        <v>0</v>
      </c>
      <c r="I25" s="160">
        <v>0</v>
      </c>
      <c r="J25" s="160">
        <v>0</v>
      </c>
      <c r="K25" s="161" t="s">
        <v>33</v>
      </c>
      <c r="L25" s="161" t="s">
        <v>21</v>
      </c>
      <c r="M25" s="161"/>
      <c r="N25" s="202">
        <f>B25*C25</f>
        <v>21</v>
      </c>
      <c r="O25" s="163" t="s">
        <v>104</v>
      </c>
    </row>
    <row r="26" spans="1:16" ht="22.5" x14ac:dyDescent="0.2">
      <c r="A26" s="164" t="s">
        <v>338</v>
      </c>
      <c r="B26" s="165">
        <v>8</v>
      </c>
      <c r="C26" s="165">
        <v>8</v>
      </c>
      <c r="D26" s="165">
        <v>4.5</v>
      </c>
      <c r="E26" s="165">
        <v>72</v>
      </c>
      <c r="F26" s="166" t="s">
        <v>335</v>
      </c>
      <c r="G26" s="166">
        <v>1</v>
      </c>
      <c r="H26" s="166">
        <v>0</v>
      </c>
      <c r="I26" s="166">
        <v>0</v>
      </c>
      <c r="J26" s="166">
        <v>0</v>
      </c>
      <c r="K26" s="167" t="s">
        <v>33</v>
      </c>
      <c r="L26" s="168" t="s">
        <v>137</v>
      </c>
      <c r="M26" s="167"/>
      <c r="N26" s="203">
        <f>B26*C26</f>
        <v>64</v>
      </c>
      <c r="O26" s="170" t="s">
        <v>104</v>
      </c>
    </row>
    <row r="27" spans="1:16" ht="21.75" x14ac:dyDescent="0.2">
      <c r="A27" s="7"/>
      <c r="B27" s="8"/>
      <c r="C27" s="8"/>
      <c r="D27" s="8"/>
      <c r="E27" s="8"/>
      <c r="F27" s="8"/>
      <c r="G27" s="8"/>
      <c r="H27" s="5"/>
      <c r="I27" s="5"/>
      <c r="J27" s="5"/>
      <c r="K27" s="5"/>
      <c r="L27" s="5"/>
      <c r="M27" s="5"/>
      <c r="N27" s="5"/>
      <c r="O27" s="5"/>
    </row>
    <row r="28" spans="1:16" ht="22.5" x14ac:dyDescent="0.2">
      <c r="A28" s="279" t="s">
        <v>378</v>
      </c>
      <c r="B28" s="279"/>
      <c r="C28" s="5"/>
      <c r="D28" s="9"/>
      <c r="E28" s="9"/>
      <c r="F28" s="9"/>
      <c r="G28" s="9"/>
      <c r="H28" s="5"/>
      <c r="I28" s="9"/>
      <c r="J28" s="9"/>
      <c r="K28" s="9"/>
      <c r="L28" s="9"/>
      <c r="M28" s="5"/>
      <c r="N28" s="5"/>
      <c r="O28" s="5"/>
    </row>
    <row r="29" spans="1:16" ht="22.5" customHeight="1" x14ac:dyDescent="0.2">
      <c r="A29" s="293" t="s">
        <v>322</v>
      </c>
      <c r="B29" s="293"/>
      <c r="C29" s="315" t="s">
        <v>340</v>
      </c>
      <c r="D29" s="316" t="s">
        <v>341</v>
      </c>
      <c r="E29" s="316" t="s">
        <v>0</v>
      </c>
      <c r="F29" s="316" t="s">
        <v>342</v>
      </c>
      <c r="G29" s="316" t="s">
        <v>328</v>
      </c>
      <c r="H29" s="316"/>
      <c r="I29" s="316" t="s">
        <v>329</v>
      </c>
      <c r="J29" s="316"/>
      <c r="K29" s="316" t="s">
        <v>1</v>
      </c>
      <c r="L29" s="316" t="s">
        <v>343</v>
      </c>
      <c r="M29" s="316" t="s">
        <v>102</v>
      </c>
      <c r="N29" s="316" t="s">
        <v>2</v>
      </c>
      <c r="O29" s="322" t="s">
        <v>377</v>
      </c>
      <c r="P29" s="354" t="s">
        <v>114</v>
      </c>
    </row>
    <row r="30" spans="1:16" ht="27" customHeight="1" thickBot="1" x14ac:dyDescent="0.25">
      <c r="A30" s="320"/>
      <c r="B30" s="320"/>
      <c r="C30" s="321"/>
      <c r="D30" s="319"/>
      <c r="E30" s="319"/>
      <c r="F30" s="319"/>
      <c r="G30" s="57" t="s">
        <v>345</v>
      </c>
      <c r="H30" s="23" t="s">
        <v>346</v>
      </c>
      <c r="I30" s="57" t="s">
        <v>345</v>
      </c>
      <c r="J30" s="23" t="s">
        <v>346</v>
      </c>
      <c r="K30" s="319"/>
      <c r="L30" s="319"/>
      <c r="M30" s="319"/>
      <c r="N30" s="319"/>
      <c r="O30" s="353"/>
      <c r="P30" s="354"/>
    </row>
    <row r="31" spans="1:16" ht="21.75" x14ac:dyDescent="0.2">
      <c r="A31" s="323" t="s">
        <v>8</v>
      </c>
      <c r="B31" s="324"/>
      <c r="C31" s="25">
        <v>1</v>
      </c>
      <c r="D31" s="25">
        <v>1</v>
      </c>
      <c r="E31" s="25">
        <v>1</v>
      </c>
      <c r="F31" s="25">
        <v>1</v>
      </c>
      <c r="G31" s="25">
        <f>IF(G22&gt;1,0.95/(G22-1)^(1/7),1)</f>
        <v>1</v>
      </c>
      <c r="H31" s="25">
        <v>1</v>
      </c>
      <c r="I31" s="25">
        <f>IF(I22&gt;0,0.95/(I22)^(1/7),1)</f>
        <v>1</v>
      </c>
      <c r="J31" s="25">
        <v>1</v>
      </c>
      <c r="K31" s="25">
        <v>1</v>
      </c>
      <c r="L31" s="26">
        <v>1</v>
      </c>
      <c r="M31" s="26">
        <v>1</v>
      </c>
      <c r="N31" s="25">
        <f>C31*D31*E31*F31*G31*H31*I31*J31*K31*L31*M31</f>
        <v>1</v>
      </c>
      <c r="O31" s="27">
        <f>O22</f>
        <v>1828571428.5714285</v>
      </c>
      <c r="P31" s="204"/>
    </row>
    <row r="32" spans="1:16" ht="22.5" thickBot="1" x14ac:dyDescent="0.25">
      <c r="A32" s="325" t="s">
        <v>347</v>
      </c>
      <c r="B32" s="326"/>
      <c r="C32" s="29">
        <f>((B25/C25)/(B22/C22))^(1/7)</f>
        <v>0.9714824863779149</v>
      </c>
      <c r="D32" s="29">
        <f>(D25/D22)^0.25</f>
        <v>1</v>
      </c>
      <c r="E32" s="29">
        <f>(N22/N25)^0.2</f>
        <v>1.1075663432482901</v>
      </c>
      <c r="F32" s="29">
        <v>1</v>
      </c>
      <c r="G32" s="29">
        <f>IF(G25&gt;1,0.95/(G25-1)^(1/7),1)</f>
        <v>1</v>
      </c>
      <c r="H32" s="29">
        <v>1</v>
      </c>
      <c r="I32" s="29">
        <f>IF(I25&gt;0,0.95/(I25)^(1/7),1)</f>
        <v>1</v>
      </c>
      <c r="J32" s="29">
        <v>1</v>
      </c>
      <c r="K32" s="29">
        <v>1</v>
      </c>
      <c r="L32" s="30">
        <v>1</v>
      </c>
      <c r="M32" s="30">
        <v>1</v>
      </c>
      <c r="N32" s="173">
        <f>C32*D32*E32*F32*G32*H32*I32*J32*K32*L32*M32</f>
        <v>1.0759813049673439</v>
      </c>
      <c r="O32" s="31">
        <f>ROUND(N32*O31/N31,-6)</f>
        <v>1968000000</v>
      </c>
      <c r="P32" s="69" t="str">
        <f>IF(AND(O32&lt;=(O$37+2*O$38),O32&gt;=(O$37-2*O$38)),"OK","Outlier")</f>
        <v>OK</v>
      </c>
    </row>
    <row r="33" spans="1:19" ht="21.75" x14ac:dyDescent="0.2">
      <c r="A33" s="327" t="s">
        <v>9</v>
      </c>
      <c r="B33" s="328"/>
      <c r="C33" s="33">
        <v>1</v>
      </c>
      <c r="D33" s="33">
        <v>1</v>
      </c>
      <c r="E33" s="33">
        <v>1</v>
      </c>
      <c r="F33" s="33">
        <v>1</v>
      </c>
      <c r="G33" s="33">
        <f>IF(G23&gt;1,0.95/(G23-1)^(1/7),1)</f>
        <v>1</v>
      </c>
      <c r="H33" s="33">
        <v>1</v>
      </c>
      <c r="I33" s="33">
        <f>IF(I23&gt;0,0.95/(I23)^(1/7),1)</f>
        <v>1</v>
      </c>
      <c r="J33" s="33">
        <v>1</v>
      </c>
      <c r="K33" s="33">
        <v>1</v>
      </c>
      <c r="L33" s="34">
        <v>1.1000000000000001</v>
      </c>
      <c r="M33" s="34">
        <v>1</v>
      </c>
      <c r="N33" s="33">
        <f t="shared" ref="N33:N43" si="5">C33*D33*E33*F33*G33*H33*I33*J33*K33*L33*M33</f>
        <v>1.1000000000000001</v>
      </c>
      <c r="O33" s="35">
        <f>O23</f>
        <v>2215384615.3846154</v>
      </c>
      <c r="P33" s="69"/>
    </row>
    <row r="34" spans="1:19" ht="22.5" thickBot="1" x14ac:dyDescent="0.25">
      <c r="A34" s="329" t="s">
        <v>348</v>
      </c>
      <c r="B34" s="330"/>
      <c r="C34" s="37">
        <f>((B25/C25)/(B23/C23))^(1/7)</f>
        <v>0.99238787935415074</v>
      </c>
      <c r="D34" s="37">
        <f>(D25/D23)^0.25</f>
        <v>0.93910441575375248</v>
      </c>
      <c r="E34" s="37">
        <f>(N23/N25)^0.2</f>
        <v>1.0436402271504359</v>
      </c>
      <c r="F34" s="37">
        <v>1</v>
      </c>
      <c r="G34" s="37">
        <f>IF(G25&gt;1,0.95/(G25-1)^(1/7),1)</f>
        <v>1</v>
      </c>
      <c r="H34" s="37">
        <v>1</v>
      </c>
      <c r="I34" s="37">
        <f>IF(I25&gt;0,0.95/(I25)^(1/7),1)</f>
        <v>1</v>
      </c>
      <c r="J34" s="37">
        <v>1</v>
      </c>
      <c r="K34" s="37">
        <v>1</v>
      </c>
      <c r="L34" s="38">
        <v>1</v>
      </c>
      <c r="M34" s="38">
        <v>1</v>
      </c>
      <c r="N34" s="175">
        <f t="shared" si="5"/>
        <v>0.97262660417813662</v>
      </c>
      <c r="O34" s="39">
        <f>ROUND(N34*O33/N33,-6)</f>
        <v>1959000000</v>
      </c>
      <c r="P34" s="69" t="str">
        <f>IF(AND(O34&lt;=(O$37+2*O$38),O34&gt;=(O$37-2*O$38)),"OK","Outlier")</f>
        <v>OK</v>
      </c>
    </row>
    <row r="35" spans="1:19" ht="21.75" x14ac:dyDescent="0.2">
      <c r="A35" s="317" t="s">
        <v>10</v>
      </c>
      <c r="B35" s="318"/>
      <c r="C35" s="176">
        <v>1</v>
      </c>
      <c r="D35" s="176">
        <v>1</v>
      </c>
      <c r="E35" s="176">
        <v>1</v>
      </c>
      <c r="F35" s="176">
        <v>1</v>
      </c>
      <c r="G35" s="176">
        <f>IF(G24&gt;1,0.95/(G24-1)^(1/7),1)</f>
        <v>1</v>
      </c>
      <c r="H35" s="176">
        <v>1</v>
      </c>
      <c r="I35" s="176">
        <f>IF(I24&gt;0,0.95/(I24)^(1/7),1)</f>
        <v>1</v>
      </c>
      <c r="J35" s="176">
        <v>1</v>
      </c>
      <c r="K35" s="176">
        <v>1</v>
      </c>
      <c r="L35" s="177">
        <v>1</v>
      </c>
      <c r="M35" s="177">
        <v>1</v>
      </c>
      <c r="N35" s="176">
        <f t="shared" si="5"/>
        <v>1</v>
      </c>
      <c r="O35" s="178">
        <f>O24</f>
        <v>1688888888.8888888</v>
      </c>
      <c r="P35" s="69"/>
    </row>
    <row r="36" spans="1:19" ht="22.5" thickBot="1" x14ac:dyDescent="0.25">
      <c r="A36" s="331" t="s">
        <v>349</v>
      </c>
      <c r="B36" s="332"/>
      <c r="C36" s="179">
        <f>((B25/C25)/(B24/C24))^(1/7)</f>
        <v>1.0713833651971729</v>
      </c>
      <c r="D36" s="179">
        <f>(D25/D24)^0.25</f>
        <v>0.95544279220436679</v>
      </c>
      <c r="E36" s="179">
        <f>(N24/N25)^0.2</f>
        <v>1.1138241786028791</v>
      </c>
      <c r="F36" s="179">
        <v>1</v>
      </c>
      <c r="G36" s="179">
        <f>IF(G25&gt;1,0.95/(G25-1)^(1/7),1)</f>
        <v>1</v>
      </c>
      <c r="H36" s="179">
        <v>1</v>
      </c>
      <c r="I36" s="179">
        <f>IF(I25&gt;0,0.95/(I25)^(1/7),1)</f>
        <v>1</v>
      </c>
      <c r="J36" s="179">
        <v>1</v>
      </c>
      <c r="K36" s="179">
        <v>1</v>
      </c>
      <c r="L36" s="180">
        <v>1</v>
      </c>
      <c r="M36" s="180">
        <v>1</v>
      </c>
      <c r="N36" s="181">
        <f t="shared" si="5"/>
        <v>1.1401611237729199</v>
      </c>
      <c r="O36" s="182">
        <f>ROUND(N36*O35/N35,-6)</f>
        <v>1926000000</v>
      </c>
      <c r="P36" s="69" t="str">
        <f>IF(AND(O36&lt;=(O$37+2*O$38),O36&gt;=(O$37-2*O$38)),"OK","Outlier")</f>
        <v>OK</v>
      </c>
    </row>
    <row r="37" spans="1:19" ht="24" x14ac:dyDescent="0.2">
      <c r="A37" s="7"/>
      <c r="B37" s="7"/>
      <c r="C37" s="183"/>
      <c r="D37" s="183"/>
      <c r="E37" s="183"/>
      <c r="F37" s="183"/>
      <c r="G37" s="183"/>
      <c r="H37" s="183"/>
      <c r="I37" s="183"/>
      <c r="J37" s="183"/>
      <c r="K37" s="183"/>
      <c r="L37" s="356" t="s">
        <v>424</v>
      </c>
      <c r="M37" s="356"/>
      <c r="N37" s="356"/>
      <c r="O37" s="205">
        <f>AVERAGE(O32,O34,O36)</f>
        <v>1951000000</v>
      </c>
    </row>
    <row r="38" spans="1:19" ht="24" x14ac:dyDescent="0.2">
      <c r="A38" s="7"/>
      <c r="B38" s="7"/>
      <c r="C38" s="183"/>
      <c r="D38" s="183"/>
      <c r="E38" s="183"/>
      <c r="F38" s="183"/>
      <c r="G38" s="183"/>
      <c r="H38" s="183"/>
      <c r="I38" s="183"/>
      <c r="J38" s="183"/>
      <c r="K38" s="183"/>
      <c r="L38" s="333" t="s">
        <v>379</v>
      </c>
      <c r="M38" s="333"/>
      <c r="N38" s="333"/>
      <c r="O38" s="105">
        <f>_xlfn.STDEV.S(O32,O34,O36)</f>
        <v>22113344.38749598</v>
      </c>
      <c r="P38" s="106"/>
    </row>
    <row r="39" spans="1:19" ht="24" x14ac:dyDescent="0.2">
      <c r="A39" s="7"/>
      <c r="B39" s="7"/>
      <c r="C39" s="183"/>
      <c r="D39" s="183"/>
      <c r="E39" s="183"/>
      <c r="F39" s="183"/>
      <c r="G39" s="183"/>
      <c r="H39" s="183"/>
      <c r="I39" s="183"/>
      <c r="J39" s="183"/>
      <c r="K39" s="183"/>
      <c r="L39" s="333" t="s">
        <v>425</v>
      </c>
      <c r="M39" s="333"/>
      <c r="N39" s="333"/>
      <c r="O39" s="105">
        <f>O37*N25</f>
        <v>40971000000</v>
      </c>
      <c r="P39" s="106"/>
    </row>
    <row r="40" spans="1:19" ht="23.25" thickBot="1" x14ac:dyDescent="0.25">
      <c r="A40" s="279" t="s">
        <v>419</v>
      </c>
      <c r="B40" s="279"/>
      <c r="C40" s="183"/>
      <c r="D40" s="183"/>
      <c r="E40" s="183"/>
      <c r="F40" s="183"/>
      <c r="G40" s="183"/>
      <c r="H40" s="183"/>
      <c r="I40" s="183"/>
      <c r="J40" s="183"/>
      <c r="K40" s="183"/>
      <c r="L40" s="184"/>
      <c r="M40" s="184"/>
      <c r="N40" s="183"/>
      <c r="O40" s="185"/>
    </row>
    <row r="41" spans="1:19" ht="21.75" x14ac:dyDescent="0.2">
      <c r="A41" s="357" t="s">
        <v>322</v>
      </c>
      <c r="B41" s="358"/>
      <c r="C41" s="360" t="s">
        <v>340</v>
      </c>
      <c r="D41" s="355" t="s">
        <v>341</v>
      </c>
      <c r="E41" s="355" t="s">
        <v>0</v>
      </c>
      <c r="F41" s="355" t="s">
        <v>342</v>
      </c>
      <c r="G41" s="355" t="s">
        <v>328</v>
      </c>
      <c r="H41" s="355"/>
      <c r="I41" s="355" t="s">
        <v>329</v>
      </c>
      <c r="J41" s="355"/>
      <c r="K41" s="355" t="s">
        <v>1</v>
      </c>
      <c r="L41" s="355" t="s">
        <v>343</v>
      </c>
      <c r="M41" s="355" t="s">
        <v>102</v>
      </c>
      <c r="N41" s="355" t="s">
        <v>2</v>
      </c>
      <c r="O41" s="362" t="s">
        <v>377</v>
      </c>
    </row>
    <row r="42" spans="1:19" ht="21.75" x14ac:dyDescent="0.2">
      <c r="A42" s="359"/>
      <c r="B42" s="293"/>
      <c r="C42" s="315"/>
      <c r="D42" s="316"/>
      <c r="E42" s="316"/>
      <c r="F42" s="316"/>
      <c r="G42" s="171" t="s">
        <v>345</v>
      </c>
      <c r="H42" s="54" t="s">
        <v>346</v>
      </c>
      <c r="I42" s="171" t="s">
        <v>345</v>
      </c>
      <c r="J42" s="54" t="s">
        <v>346</v>
      </c>
      <c r="K42" s="316"/>
      <c r="L42" s="316"/>
      <c r="M42" s="316"/>
      <c r="N42" s="316"/>
      <c r="O42" s="363"/>
    </row>
    <row r="43" spans="1:19" ht="22.5" x14ac:dyDescent="0.2">
      <c r="A43" s="364" t="s">
        <v>380</v>
      </c>
      <c r="B43" s="365"/>
      <c r="C43" s="206">
        <v>1</v>
      </c>
      <c r="D43" s="206">
        <v>1</v>
      </c>
      <c r="E43" s="206">
        <v>1</v>
      </c>
      <c r="F43" s="206">
        <v>1</v>
      </c>
      <c r="G43" s="206">
        <f>IF(G25&gt;1,0.95/(G25-1)^(1/7),1)</f>
        <v>1</v>
      </c>
      <c r="H43" s="206">
        <v>1</v>
      </c>
      <c r="I43" s="206">
        <f>IF(I25&gt;0,0.95/(I25)^(1/7),1)</f>
        <v>1</v>
      </c>
      <c r="J43" s="206">
        <v>1</v>
      </c>
      <c r="K43" s="206">
        <v>1</v>
      </c>
      <c r="L43" s="207">
        <v>1</v>
      </c>
      <c r="M43" s="207">
        <v>1</v>
      </c>
      <c r="N43" s="206">
        <f t="shared" si="5"/>
        <v>1</v>
      </c>
      <c r="O43" s="208">
        <f>ROUND(AVERAGE(O32,O34,O36),-6)</f>
        <v>1951000000</v>
      </c>
    </row>
    <row r="44" spans="1:19" ht="23.25" thickBot="1" x14ac:dyDescent="0.25">
      <c r="A44" s="366" t="s">
        <v>338</v>
      </c>
      <c r="B44" s="367"/>
      <c r="C44" s="116">
        <f>((B26/C26)/(B25/C25))^(1/7)</f>
        <v>1.0800415364847447</v>
      </c>
      <c r="D44" s="116">
        <f>(D26/D25)^0.25</f>
        <v>1.0648443168030159</v>
      </c>
      <c r="E44" s="116">
        <f>(N25/N26)^0.2</f>
        <v>0.80021716722023561</v>
      </c>
      <c r="F44" s="116">
        <v>1</v>
      </c>
      <c r="G44" s="116">
        <f>IF(G26&gt;1,0.95/(G26-1)^(1/7),1)</f>
        <v>1</v>
      </c>
      <c r="H44" s="116">
        <v>1</v>
      </c>
      <c r="I44" s="116">
        <f>IF(I26&gt;0,0.95/(I26)^(1/7),1)</f>
        <v>1</v>
      </c>
      <c r="J44" s="116">
        <v>1</v>
      </c>
      <c r="K44" s="116">
        <v>1</v>
      </c>
      <c r="L44" s="120">
        <v>1.05</v>
      </c>
      <c r="M44" s="120">
        <v>1</v>
      </c>
      <c r="N44" s="116">
        <f>C44*D44*E44*F44*G44*H44*I44*J44*K44*L44*M44</f>
        <v>0.9663261640804266</v>
      </c>
      <c r="O44" s="187">
        <f>ROUND(O43*N44/N43,-6)</f>
        <v>1885000000</v>
      </c>
    </row>
    <row r="45" spans="1:19" ht="22.5" x14ac:dyDescent="0.4">
      <c r="A45" s="1"/>
      <c r="B45" s="1"/>
      <c r="C45" s="1"/>
      <c r="D45" s="1"/>
      <c r="E45" s="1"/>
      <c r="F45" s="1"/>
      <c r="G45" s="1"/>
      <c r="H45" s="1"/>
      <c r="I45" s="1"/>
      <c r="J45" s="1"/>
      <c r="K45" s="1"/>
      <c r="L45" s="368" t="s">
        <v>381</v>
      </c>
      <c r="M45" s="368"/>
      <c r="N45" s="368"/>
      <c r="O45" s="188">
        <f>O44*N26</f>
        <v>120640000000</v>
      </c>
    </row>
    <row r="46" spans="1:19" ht="24" customHeight="1" x14ac:dyDescent="0.2">
      <c r="L46" s="369" t="s">
        <v>352</v>
      </c>
      <c r="M46" s="369"/>
      <c r="N46" s="369"/>
      <c r="O46" s="209">
        <f>O45/G5</f>
        <v>150800000000</v>
      </c>
    </row>
    <row r="47" spans="1:19" ht="24" customHeight="1" x14ac:dyDescent="0.55000000000000004">
      <c r="L47" s="369" t="s">
        <v>382</v>
      </c>
      <c r="M47" s="369"/>
      <c r="N47" s="369"/>
      <c r="O47" s="209">
        <f>ROUND(O46/E26,-6)</f>
        <v>2094000000</v>
      </c>
      <c r="P47" s="361" t="s">
        <v>383</v>
      </c>
      <c r="Q47" s="361"/>
      <c r="R47" s="361"/>
      <c r="S47" s="210" t="s">
        <v>384</v>
      </c>
    </row>
    <row r="48" spans="1:19" ht="24" customHeight="1" x14ac:dyDescent="0.2">
      <c r="L48" s="370" t="s">
        <v>385</v>
      </c>
      <c r="M48" s="370"/>
      <c r="N48" s="370"/>
      <c r="O48" s="209">
        <f>O46*G6</f>
        <v>30159999999.999992</v>
      </c>
    </row>
    <row r="49" spans="12:19" ht="24" customHeight="1" x14ac:dyDescent="0.2">
      <c r="L49" s="369" t="s">
        <v>386</v>
      </c>
      <c r="M49" s="369"/>
      <c r="N49" s="369"/>
      <c r="O49" s="211">
        <f>(O39/O45)^(1/6)*0.06</f>
        <v>5.0116660350620471E-2</v>
      </c>
    </row>
    <row r="50" spans="12:19" ht="22.5" x14ac:dyDescent="0.55000000000000004">
      <c r="L50" s="369" t="s">
        <v>387</v>
      </c>
      <c r="M50" s="369"/>
      <c r="N50" s="369"/>
      <c r="O50" s="209">
        <f>1/12*O49*O45</f>
        <v>503839492.05823773</v>
      </c>
      <c r="P50" s="361" t="s">
        <v>388</v>
      </c>
      <c r="Q50" s="361"/>
      <c r="R50" s="361"/>
      <c r="S50" s="210" t="s">
        <v>384</v>
      </c>
    </row>
    <row r="51" spans="12:19" ht="22.5" x14ac:dyDescent="0.2">
      <c r="L51" s="369" t="s">
        <v>389</v>
      </c>
      <c r="M51" s="369"/>
      <c r="N51" s="369"/>
      <c r="O51" s="209">
        <f>1/12*1/5*O49*G6*O45</f>
        <v>20153579.682329506</v>
      </c>
    </row>
    <row r="52" spans="12:19" ht="22.5" x14ac:dyDescent="0.2">
      <c r="L52" s="370" t="s">
        <v>390</v>
      </c>
      <c r="M52" s="370"/>
      <c r="N52" s="370"/>
      <c r="O52" s="209">
        <f>O50/O51</f>
        <v>25.000000000000004</v>
      </c>
    </row>
    <row r="53" spans="12:19" ht="22.5" x14ac:dyDescent="0.2">
      <c r="L53" s="369" t="s">
        <v>391</v>
      </c>
      <c r="M53" s="369"/>
      <c r="N53" s="369"/>
      <c r="O53" s="209">
        <f>ROUND(36*O51,-3)</f>
        <v>725529000</v>
      </c>
    </row>
  </sheetData>
  <customSheetViews>
    <customSheetView guid="{2AB27FB0-6750-413F-B436-DA6A7082F863}" scale="85" fitToPage="1">
      <selection sqref="A1:O1"/>
      <pageMargins left="0.7" right="0.7" top="0.75" bottom="0.75" header="0.3" footer="0.3"/>
      <pageSetup paperSize="9" scale="40" orientation="landscape" r:id="rId1"/>
    </customSheetView>
  </customSheetViews>
  <mergeCells count="87">
    <mergeCell ref="L53:N53"/>
    <mergeCell ref="L48:N48"/>
    <mergeCell ref="L49:N49"/>
    <mergeCell ref="L50:N50"/>
    <mergeCell ref="P50:R50"/>
    <mergeCell ref="L51:N51"/>
    <mergeCell ref="L52:N52"/>
    <mergeCell ref="A43:B43"/>
    <mergeCell ref="A44:B44"/>
    <mergeCell ref="L45:N45"/>
    <mergeCell ref="L46:N46"/>
    <mergeCell ref="L47:N47"/>
    <mergeCell ref="P47:R47"/>
    <mergeCell ref="I41:J41"/>
    <mergeCell ref="K41:K42"/>
    <mergeCell ref="L41:L42"/>
    <mergeCell ref="M41:M42"/>
    <mergeCell ref="N41:N42"/>
    <mergeCell ref="O41:O42"/>
    <mergeCell ref="G41:H41"/>
    <mergeCell ref="A35:B35"/>
    <mergeCell ref="A36:B36"/>
    <mergeCell ref="L37:N37"/>
    <mergeCell ref="L38:N38"/>
    <mergeCell ref="L39:N39"/>
    <mergeCell ref="A40:B40"/>
    <mergeCell ref="A41:B42"/>
    <mergeCell ref="C41:C42"/>
    <mergeCell ref="D41:D42"/>
    <mergeCell ref="E41:E42"/>
    <mergeCell ref="F41:F42"/>
    <mergeCell ref="O29:O30"/>
    <mergeCell ref="P29:P30"/>
    <mergeCell ref="A31:B31"/>
    <mergeCell ref="A32:B32"/>
    <mergeCell ref="A33:B33"/>
    <mergeCell ref="M29:M30"/>
    <mergeCell ref="N29:N30"/>
    <mergeCell ref="A34:B34"/>
    <mergeCell ref="G29:H29"/>
    <mergeCell ref="I29:J29"/>
    <mergeCell ref="K29:K30"/>
    <mergeCell ref="L29:L30"/>
    <mergeCell ref="F29:F30"/>
    <mergeCell ref="A28:B28"/>
    <mergeCell ref="A29:B30"/>
    <mergeCell ref="C29:C30"/>
    <mergeCell ref="D29:D30"/>
    <mergeCell ref="E29:E30"/>
    <mergeCell ref="O20:O21"/>
    <mergeCell ref="G13:G14"/>
    <mergeCell ref="H13:H14"/>
    <mergeCell ref="A19:O19"/>
    <mergeCell ref="A20:A21"/>
    <mergeCell ref="B20:B21"/>
    <mergeCell ref="C20:C21"/>
    <mergeCell ref="D20:D21"/>
    <mergeCell ref="E20:E21"/>
    <mergeCell ref="F20:F21"/>
    <mergeCell ref="G20:H20"/>
    <mergeCell ref="I20:J20"/>
    <mergeCell ref="K20:K21"/>
    <mergeCell ref="L20:L21"/>
    <mergeCell ref="M20:M21"/>
    <mergeCell ref="N20:N21"/>
    <mergeCell ref="A9:F9"/>
    <mergeCell ref="H9:K9"/>
    <mergeCell ref="A10:F10"/>
    <mergeCell ref="H10:K10"/>
    <mergeCell ref="A12:A14"/>
    <mergeCell ref="B12:F12"/>
    <mergeCell ref="G12:H12"/>
    <mergeCell ref="B13:B14"/>
    <mergeCell ref="C13:C14"/>
    <mergeCell ref="D13:F13"/>
    <mergeCell ref="A6:F6"/>
    <mergeCell ref="H6:K6"/>
    <mergeCell ref="A7:F7"/>
    <mergeCell ref="H7:K7"/>
    <mergeCell ref="A8:F8"/>
    <mergeCell ref="H8:K8"/>
    <mergeCell ref="A1:O1"/>
    <mergeCell ref="A2:O2"/>
    <mergeCell ref="A4:F4"/>
    <mergeCell ref="H4:K4"/>
    <mergeCell ref="A5:F5"/>
    <mergeCell ref="H5:K5"/>
  </mergeCells>
  <conditionalFormatting sqref="P31:P36">
    <cfRule type="containsText" dxfId="0" priority="1" operator="containsText" text="OK">
      <formula>NOT(ISERROR(SEARCH("OK",P31)))</formula>
    </cfRule>
  </conditionalFormatting>
  <pageMargins left="0.7" right="0.7" top="0.75" bottom="0.75" header="0.3" footer="0.3"/>
  <pageSetup paperSize="9" scale="4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3FA503-8D7E-4EE0-B464-9C1E9B283022}">
  <sheetPr>
    <pageSetUpPr fitToPage="1"/>
  </sheetPr>
  <dimension ref="A1:H22"/>
  <sheetViews>
    <sheetView rightToLeft="1" workbookViewId="0">
      <selection activeCell="E23" sqref="E23"/>
    </sheetView>
  </sheetViews>
  <sheetFormatPr defaultRowHeight="14.25" x14ac:dyDescent="0.2"/>
  <cols>
    <col min="1" max="1" width="11.375" customWidth="1"/>
    <col min="2" max="6" width="14.625" customWidth="1"/>
    <col min="7" max="7" width="17.5" customWidth="1"/>
    <col min="8" max="8" width="13.625" customWidth="1"/>
  </cols>
  <sheetData>
    <row r="1" spans="1:8" ht="36.75" customHeight="1" x14ac:dyDescent="1.05">
      <c r="A1" s="251" t="s">
        <v>408</v>
      </c>
      <c r="B1" s="251"/>
      <c r="C1" s="251"/>
      <c r="D1" s="251"/>
      <c r="E1" s="251"/>
      <c r="F1" s="251"/>
      <c r="G1" s="251"/>
      <c r="H1" s="251"/>
    </row>
    <row r="2" spans="1:8" ht="12.75" customHeight="1" x14ac:dyDescent="0.55000000000000004">
      <c r="A2" s="134"/>
      <c r="B2" s="134"/>
      <c r="C2" s="134"/>
      <c r="D2" s="134"/>
      <c r="E2" s="134"/>
      <c r="F2" s="134"/>
      <c r="G2" s="134"/>
      <c r="H2" s="134"/>
    </row>
    <row r="3" spans="1:8" ht="24" x14ac:dyDescent="0.55000000000000004">
      <c r="A3" s="250" t="s">
        <v>406</v>
      </c>
      <c r="B3" s="250"/>
      <c r="C3" s="223">
        <v>8</v>
      </c>
      <c r="D3" s="134"/>
      <c r="E3" s="134"/>
      <c r="F3" s="134"/>
      <c r="G3" s="134"/>
      <c r="H3" s="134"/>
    </row>
    <row r="4" spans="1:8" ht="24" x14ac:dyDescent="0.55000000000000004">
      <c r="A4" s="250" t="s">
        <v>407</v>
      </c>
      <c r="B4" s="250"/>
      <c r="C4" s="223">
        <v>300</v>
      </c>
      <c r="D4" s="134"/>
      <c r="E4" s="134"/>
      <c r="F4" s="134"/>
      <c r="G4" s="134"/>
      <c r="H4" s="134"/>
    </row>
    <row r="5" spans="1:8" ht="12.75" customHeight="1" thickBot="1" x14ac:dyDescent="0.6">
      <c r="A5" s="134"/>
      <c r="B5" s="134"/>
      <c r="C5" s="134"/>
      <c r="D5" s="134"/>
      <c r="E5" s="134"/>
      <c r="F5" s="134"/>
      <c r="G5" s="134"/>
      <c r="H5" s="134"/>
    </row>
    <row r="6" spans="1:8" ht="24" x14ac:dyDescent="0.6">
      <c r="A6" s="259" t="s">
        <v>404</v>
      </c>
      <c r="B6" s="260"/>
      <c r="C6" s="252" t="s">
        <v>403</v>
      </c>
      <c r="D6" s="253"/>
      <c r="E6" s="253"/>
      <c r="F6" s="254"/>
      <c r="G6" s="255" t="s">
        <v>409</v>
      </c>
      <c r="H6" s="257" t="s">
        <v>402</v>
      </c>
    </row>
    <row r="7" spans="1:8" ht="42" customHeight="1" x14ac:dyDescent="0.2">
      <c r="A7" s="213" t="s">
        <v>398</v>
      </c>
      <c r="B7" s="214" t="s">
        <v>5</v>
      </c>
      <c r="C7" s="224" t="s">
        <v>399</v>
      </c>
      <c r="D7" s="224" t="s">
        <v>400</v>
      </c>
      <c r="E7" s="224" t="s">
        <v>401</v>
      </c>
      <c r="F7" s="224" t="s">
        <v>410</v>
      </c>
      <c r="G7" s="256"/>
      <c r="H7" s="258"/>
    </row>
    <row r="8" spans="1:8" ht="22.5" x14ac:dyDescent="0.55000000000000004">
      <c r="A8" s="225">
        <v>1</v>
      </c>
      <c r="B8" s="151" t="s">
        <v>27</v>
      </c>
      <c r="C8" s="222">
        <v>87.22</v>
      </c>
      <c r="D8" s="222">
        <v>2.87</v>
      </c>
      <c r="E8" s="222">
        <v>12.5</v>
      </c>
      <c r="F8" s="222">
        <v>0</v>
      </c>
      <c r="G8" s="222">
        <f>C8+D8+E8+F8</f>
        <v>102.59</v>
      </c>
      <c r="H8" s="226">
        <f>G8/G$16*C$4</f>
        <v>45.746009096584324</v>
      </c>
    </row>
    <row r="9" spans="1:8" ht="22.5" x14ac:dyDescent="0.55000000000000004">
      <c r="A9" s="225">
        <v>2</v>
      </c>
      <c r="B9" s="151" t="s">
        <v>27</v>
      </c>
      <c r="C9" s="222">
        <v>96.46</v>
      </c>
      <c r="D9" s="222">
        <v>2.52</v>
      </c>
      <c r="E9" s="222">
        <v>9</v>
      </c>
      <c r="F9" s="222">
        <v>0</v>
      </c>
      <c r="G9" s="222">
        <f t="shared" ref="G9:G15" si="0">C9+D9+E9+F9</f>
        <v>107.97999999999999</v>
      </c>
      <c r="H9" s="226">
        <f t="shared" ref="H9:H15" si="1">G9/G$16*C$4</f>
        <v>48.149469365914563</v>
      </c>
    </row>
    <row r="10" spans="1:8" ht="22.5" x14ac:dyDescent="0.55000000000000004">
      <c r="A10" s="225">
        <v>3</v>
      </c>
      <c r="B10" s="151" t="s">
        <v>27</v>
      </c>
      <c r="C10" s="222">
        <v>87.06</v>
      </c>
      <c r="D10" s="222">
        <v>2.52</v>
      </c>
      <c r="E10" s="222">
        <v>10.5</v>
      </c>
      <c r="F10" s="222">
        <v>0</v>
      </c>
      <c r="G10" s="222">
        <f t="shared" si="0"/>
        <v>100.08</v>
      </c>
      <c r="H10" s="226">
        <f t="shared" si="1"/>
        <v>44.626772496209753</v>
      </c>
    </row>
    <row r="11" spans="1:8" ht="22.5" x14ac:dyDescent="0.55000000000000004">
      <c r="A11" s="225">
        <v>4</v>
      </c>
      <c r="B11" s="151" t="s">
        <v>27</v>
      </c>
      <c r="C11" s="222">
        <v>96.32</v>
      </c>
      <c r="D11" s="222">
        <v>2.52</v>
      </c>
      <c r="E11" s="222">
        <v>10.5</v>
      </c>
      <c r="F11" s="222">
        <v>0</v>
      </c>
      <c r="G11" s="222">
        <f t="shared" si="0"/>
        <v>109.33999999999999</v>
      </c>
      <c r="H11" s="226">
        <f t="shared" si="1"/>
        <v>48.755908320699184</v>
      </c>
    </row>
    <row r="12" spans="1:8" ht="22.5" x14ac:dyDescent="0.55000000000000004">
      <c r="A12" s="225">
        <v>5</v>
      </c>
      <c r="B12" s="151" t="s">
        <v>27</v>
      </c>
      <c r="C12" s="222">
        <v>86.9</v>
      </c>
      <c r="D12" s="222">
        <v>2.52</v>
      </c>
      <c r="E12" s="222">
        <v>12.5</v>
      </c>
      <c r="F12" s="222">
        <v>0</v>
      </c>
      <c r="G12" s="222">
        <f t="shared" si="0"/>
        <v>101.92</v>
      </c>
      <c r="H12" s="226">
        <f t="shared" si="1"/>
        <v>45.447248729153664</v>
      </c>
    </row>
    <row r="13" spans="1:8" ht="22.5" x14ac:dyDescent="0.55000000000000004">
      <c r="A13" s="225">
        <v>6</v>
      </c>
      <c r="B13" s="151" t="s">
        <v>27</v>
      </c>
      <c r="C13" s="222">
        <v>96.15</v>
      </c>
      <c r="D13" s="222">
        <v>2.52</v>
      </c>
      <c r="E13" s="222">
        <v>12.5</v>
      </c>
      <c r="F13" s="222">
        <v>0</v>
      </c>
      <c r="G13" s="222">
        <f t="shared" si="0"/>
        <v>111.17</v>
      </c>
      <c r="H13" s="226">
        <f t="shared" si="1"/>
        <v>49.571925443681444</v>
      </c>
    </row>
    <row r="14" spans="1:8" ht="22.5" x14ac:dyDescent="0.55000000000000004">
      <c r="A14" s="225">
        <v>7</v>
      </c>
      <c r="B14" s="151" t="s">
        <v>13</v>
      </c>
      <c r="C14" s="222">
        <v>17.2</v>
      </c>
      <c r="D14" s="222">
        <v>0</v>
      </c>
      <c r="E14" s="222">
        <v>0</v>
      </c>
      <c r="F14" s="222">
        <v>0</v>
      </c>
      <c r="G14" s="222">
        <f t="shared" si="0"/>
        <v>17.2</v>
      </c>
      <c r="H14" s="226">
        <f t="shared" si="1"/>
        <v>7.6696691340408458</v>
      </c>
    </row>
    <row r="15" spans="1:8" ht="22.5" x14ac:dyDescent="0.55000000000000004">
      <c r="A15" s="225">
        <v>8</v>
      </c>
      <c r="B15" s="151" t="s">
        <v>13</v>
      </c>
      <c r="C15" s="222">
        <v>22.5</v>
      </c>
      <c r="D15" s="222">
        <v>0</v>
      </c>
      <c r="E15" s="222">
        <v>0</v>
      </c>
      <c r="F15" s="222">
        <v>0</v>
      </c>
      <c r="G15" s="222">
        <f t="shared" si="0"/>
        <v>22.5</v>
      </c>
      <c r="H15" s="226">
        <f t="shared" si="1"/>
        <v>10.032997413716222</v>
      </c>
    </row>
    <row r="16" spans="1:8" ht="24.75" thickBot="1" x14ac:dyDescent="0.65">
      <c r="A16" s="247" t="s">
        <v>205</v>
      </c>
      <c r="B16" s="248"/>
      <c r="C16" s="248"/>
      <c r="D16" s="248"/>
      <c r="E16" s="248"/>
      <c r="F16" s="249"/>
      <c r="G16" s="227">
        <f>SUM(G8:G15)</f>
        <v>672.78</v>
      </c>
      <c r="H16" s="228">
        <f>SUM(H8:H15)</f>
        <v>300</v>
      </c>
    </row>
    <row r="17" spans="1:8" ht="21" x14ac:dyDescent="0.2">
      <c r="H17" s="230" t="s">
        <v>405</v>
      </c>
    </row>
    <row r="18" spans="1:8" ht="9" customHeight="1" x14ac:dyDescent="0.2"/>
    <row r="19" spans="1:8" ht="48" customHeight="1" x14ac:dyDescent="0.2">
      <c r="A19" s="246" t="s">
        <v>411</v>
      </c>
      <c r="B19" s="246"/>
      <c r="C19" s="246"/>
      <c r="D19" s="246"/>
      <c r="E19" s="246"/>
      <c r="F19" s="246"/>
      <c r="G19" s="246"/>
      <c r="H19" s="246"/>
    </row>
    <row r="20" spans="1:8" ht="26.25" customHeight="1" x14ac:dyDescent="0.2">
      <c r="A20" s="246" t="s">
        <v>412</v>
      </c>
      <c r="B20" s="246"/>
      <c r="C20" s="246"/>
      <c r="D20" s="246"/>
      <c r="E20" s="246"/>
      <c r="F20" s="246"/>
      <c r="G20" s="246"/>
      <c r="H20" s="246"/>
    </row>
    <row r="21" spans="1:8" ht="41.25" customHeight="1" x14ac:dyDescent="0.2">
      <c r="A21" s="246" t="s">
        <v>413</v>
      </c>
      <c r="B21" s="246"/>
      <c r="C21" s="246"/>
      <c r="D21" s="246"/>
      <c r="E21" s="246"/>
      <c r="F21" s="246"/>
      <c r="G21" s="246"/>
      <c r="H21" s="246"/>
    </row>
    <row r="22" spans="1:8" x14ac:dyDescent="0.2">
      <c r="A22" s="229"/>
    </row>
  </sheetData>
  <customSheetViews>
    <customSheetView guid="{2AB27FB0-6750-413F-B436-DA6A7082F863}">
      <pageMargins left="0.7" right="0.7" top="0.75" bottom="0.75" header="0.3" footer="0.3"/>
    </customSheetView>
  </customSheetViews>
  <mergeCells count="11">
    <mergeCell ref="A1:H1"/>
    <mergeCell ref="C6:F6"/>
    <mergeCell ref="G6:G7"/>
    <mergeCell ref="H6:H7"/>
    <mergeCell ref="A6:B6"/>
    <mergeCell ref="A19:H19"/>
    <mergeCell ref="A20:H20"/>
    <mergeCell ref="A21:H21"/>
    <mergeCell ref="A16:F16"/>
    <mergeCell ref="A3:B3"/>
    <mergeCell ref="A4:B4"/>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A5443-E8C9-465D-A876-BD61E3757878}">
  <sheetPr>
    <pageSetUpPr fitToPage="1"/>
  </sheetPr>
  <dimension ref="A1:V28"/>
  <sheetViews>
    <sheetView rightToLeft="1" zoomScaleNormal="100" workbookViewId="0">
      <selection activeCell="A22" sqref="A22:XFD22"/>
    </sheetView>
  </sheetViews>
  <sheetFormatPr defaultRowHeight="14.25" x14ac:dyDescent="0.2"/>
  <cols>
    <col min="1" max="1" width="15.75" customWidth="1"/>
    <col min="2" max="2" width="10.875" customWidth="1"/>
    <col min="3" max="3" width="3.75" customWidth="1"/>
    <col min="4" max="4" width="15.75" customWidth="1"/>
    <col min="5" max="5" width="10.625" customWidth="1"/>
    <col min="6" max="6" width="4.375" customWidth="1"/>
    <col min="7" max="7" width="15.75" customWidth="1"/>
    <col min="8" max="8" width="14.125" customWidth="1"/>
    <col min="9" max="9" width="10.75" customWidth="1"/>
    <col min="10" max="10" width="22.875" customWidth="1"/>
    <col min="11" max="11" width="4.25" customWidth="1"/>
    <col min="12" max="12" width="17.375" customWidth="1"/>
    <col min="13" max="13" width="12.375" customWidth="1"/>
    <col min="14" max="14" width="8.125" customWidth="1"/>
    <col min="15" max="15" width="15.875" customWidth="1"/>
    <col min="16" max="16" width="13.5" customWidth="1"/>
    <col min="17" max="17" width="4.375" customWidth="1"/>
    <col min="18" max="19" width="15.75" customWidth="1"/>
    <col min="20" max="20" width="9.875" customWidth="1"/>
    <col min="21" max="21" width="18.875" customWidth="1"/>
    <col min="22" max="22" width="16.125" customWidth="1"/>
  </cols>
  <sheetData>
    <row r="1" spans="1:22" ht="37.5" customHeight="1" x14ac:dyDescent="1.05">
      <c r="A1" s="266" t="s">
        <v>216</v>
      </c>
      <c r="B1" s="266"/>
      <c r="C1" s="266"/>
      <c r="D1" s="266"/>
      <c r="E1" s="266"/>
      <c r="F1" s="266"/>
      <c r="G1" s="266"/>
      <c r="H1" s="266"/>
      <c r="I1" s="266"/>
      <c r="J1" s="266"/>
      <c r="K1" s="266"/>
      <c r="L1" s="266"/>
      <c r="M1" s="266"/>
      <c r="N1" s="266"/>
      <c r="O1" s="266"/>
      <c r="P1" s="50"/>
      <c r="Q1" s="50"/>
      <c r="R1" s="50"/>
      <c r="S1" s="50"/>
      <c r="T1" s="50"/>
      <c r="U1" s="50"/>
    </row>
    <row r="2" spans="1:22" ht="9" customHeight="1" x14ac:dyDescent="0.9">
      <c r="A2" s="64"/>
      <c r="B2" s="64"/>
      <c r="C2" s="64"/>
      <c r="D2" s="64"/>
      <c r="E2" s="64"/>
      <c r="F2" s="64"/>
      <c r="G2" s="64"/>
      <c r="H2" s="64"/>
      <c r="I2" s="64"/>
      <c r="J2" s="64"/>
      <c r="K2" s="64"/>
      <c r="L2" s="58"/>
      <c r="M2" s="58"/>
      <c r="N2" s="58"/>
      <c r="O2" s="51"/>
      <c r="P2" s="51"/>
    </row>
    <row r="3" spans="1:22" ht="22.5" x14ac:dyDescent="0.2">
      <c r="A3" s="261" t="s">
        <v>82</v>
      </c>
      <c r="B3" s="261"/>
      <c r="C3" s="6"/>
      <c r="D3" s="261" t="s">
        <v>84</v>
      </c>
      <c r="E3" s="261"/>
      <c r="F3" s="5"/>
      <c r="G3" s="261" t="s">
        <v>20</v>
      </c>
      <c r="H3" s="261"/>
      <c r="I3" s="261"/>
      <c r="J3" s="261"/>
      <c r="K3" s="20"/>
      <c r="L3" s="274" t="s">
        <v>69</v>
      </c>
      <c r="M3" s="274"/>
      <c r="N3" s="274"/>
      <c r="O3" s="274"/>
    </row>
    <row r="4" spans="1:22" ht="22.5" x14ac:dyDescent="0.2">
      <c r="A4" s="77" t="s">
        <v>24</v>
      </c>
      <c r="B4" s="78" t="s">
        <v>3</v>
      </c>
      <c r="D4" s="81" t="s">
        <v>85</v>
      </c>
      <c r="E4" s="81" t="s">
        <v>3</v>
      </c>
      <c r="G4" s="82" t="s">
        <v>5</v>
      </c>
      <c r="H4" s="82" t="s">
        <v>3</v>
      </c>
      <c r="I4" s="82" t="s">
        <v>119</v>
      </c>
      <c r="J4" s="83" t="s">
        <v>118</v>
      </c>
      <c r="K4" s="21"/>
      <c r="L4" s="65" t="s">
        <v>11</v>
      </c>
      <c r="M4" s="65" t="s">
        <v>3</v>
      </c>
      <c r="N4" s="65" t="s">
        <v>119</v>
      </c>
      <c r="O4" s="65" t="s">
        <v>118</v>
      </c>
    </row>
    <row r="5" spans="1:22" ht="22.5" customHeight="1" x14ac:dyDescent="0.2">
      <c r="A5" s="74" t="s">
        <v>83</v>
      </c>
      <c r="B5" s="75">
        <v>1</v>
      </c>
      <c r="D5" s="79" t="s">
        <v>22</v>
      </c>
      <c r="E5" s="80">
        <v>1</v>
      </c>
      <c r="G5" s="59" t="s">
        <v>27</v>
      </c>
      <c r="H5" s="60">
        <v>1</v>
      </c>
      <c r="I5" s="60">
        <v>1</v>
      </c>
      <c r="J5" s="60"/>
      <c r="K5" s="8"/>
      <c r="L5" s="86" t="s">
        <v>21</v>
      </c>
      <c r="M5" s="87">
        <v>1</v>
      </c>
      <c r="N5" s="87">
        <v>1</v>
      </c>
      <c r="O5" s="88"/>
    </row>
    <row r="6" spans="1:22" ht="22.5" customHeight="1" x14ac:dyDescent="0.2">
      <c r="A6" s="74" t="s">
        <v>81</v>
      </c>
      <c r="B6" s="75">
        <v>0.9</v>
      </c>
      <c r="C6" s="8"/>
      <c r="D6" s="79" t="s">
        <v>23</v>
      </c>
      <c r="E6" s="80">
        <v>0.9</v>
      </c>
      <c r="F6" s="8"/>
      <c r="G6" s="59" t="s">
        <v>13</v>
      </c>
      <c r="H6" s="60" t="s">
        <v>35</v>
      </c>
      <c r="I6" s="59"/>
      <c r="J6" s="61" t="s">
        <v>123</v>
      </c>
      <c r="K6" s="8"/>
      <c r="L6" s="86" t="s">
        <v>70</v>
      </c>
      <c r="M6" s="87">
        <v>1.05</v>
      </c>
      <c r="N6" s="87">
        <v>1.05</v>
      </c>
      <c r="O6" s="273" t="s">
        <v>86</v>
      </c>
    </row>
    <row r="7" spans="1:22" ht="22.5" customHeight="1" x14ac:dyDescent="0.2">
      <c r="A7" s="74" t="s">
        <v>136</v>
      </c>
      <c r="B7" s="75">
        <v>0.85</v>
      </c>
      <c r="D7" s="270" t="s">
        <v>126</v>
      </c>
      <c r="E7" s="271">
        <v>0.8</v>
      </c>
      <c r="G7" s="59" t="s">
        <v>12</v>
      </c>
      <c r="H7" s="60">
        <v>1.35</v>
      </c>
      <c r="I7" s="60">
        <v>1.35</v>
      </c>
      <c r="J7" s="84"/>
      <c r="L7" s="86" t="s">
        <v>71</v>
      </c>
      <c r="M7" s="87" t="s">
        <v>72</v>
      </c>
      <c r="N7" s="87">
        <v>1.05</v>
      </c>
      <c r="O7" s="273"/>
    </row>
    <row r="8" spans="1:22" ht="22.5" customHeight="1" x14ac:dyDescent="0.2">
      <c r="A8" s="74" t="s">
        <v>25</v>
      </c>
      <c r="B8" s="75">
        <v>0.8</v>
      </c>
      <c r="D8" s="270"/>
      <c r="E8" s="271"/>
      <c r="G8" s="59" t="s">
        <v>36</v>
      </c>
      <c r="H8" s="60" t="s">
        <v>37</v>
      </c>
      <c r="I8" s="60">
        <v>1.2</v>
      </c>
      <c r="J8" s="84"/>
      <c r="L8" s="86" t="s">
        <v>73</v>
      </c>
      <c r="M8" s="87" t="s">
        <v>74</v>
      </c>
      <c r="N8" s="87">
        <v>1.1000000000000001</v>
      </c>
      <c r="O8" s="273"/>
    </row>
    <row r="9" spans="1:22" ht="22.5" customHeight="1" x14ac:dyDescent="0.2">
      <c r="A9" s="76" t="s">
        <v>26</v>
      </c>
      <c r="B9" s="75">
        <v>0.75</v>
      </c>
      <c r="D9" s="270" t="s">
        <v>125</v>
      </c>
      <c r="E9" s="271">
        <v>0.7</v>
      </c>
      <c r="G9" s="59" t="s">
        <v>15</v>
      </c>
      <c r="H9" s="60" t="s">
        <v>38</v>
      </c>
      <c r="I9" s="60">
        <v>1.2</v>
      </c>
      <c r="J9" s="61" t="s">
        <v>57</v>
      </c>
      <c r="L9" s="86" t="s">
        <v>75</v>
      </c>
      <c r="M9" s="87" t="s">
        <v>74</v>
      </c>
      <c r="N9" s="87">
        <v>1.1499999999999999</v>
      </c>
      <c r="O9" s="273"/>
    </row>
    <row r="10" spans="1:22" ht="22.5" customHeight="1" x14ac:dyDescent="0.2">
      <c r="A10" s="74" t="s">
        <v>80</v>
      </c>
      <c r="B10" s="75">
        <v>0.7</v>
      </c>
      <c r="D10" s="270"/>
      <c r="E10" s="271"/>
      <c r="G10" s="59" t="s">
        <v>16</v>
      </c>
      <c r="H10" s="60" t="s">
        <v>39</v>
      </c>
      <c r="I10" s="62">
        <v>0.6</v>
      </c>
      <c r="J10" s="84"/>
      <c r="L10" s="86" t="s">
        <v>76</v>
      </c>
      <c r="M10" s="87" t="s">
        <v>78</v>
      </c>
      <c r="N10" s="87">
        <v>1.2</v>
      </c>
      <c r="O10" s="273"/>
    </row>
    <row r="11" spans="1:22" ht="21.75" x14ac:dyDescent="0.2">
      <c r="A11" s="21"/>
      <c r="G11" s="59" t="s">
        <v>40</v>
      </c>
      <c r="H11" s="60" t="s">
        <v>60</v>
      </c>
      <c r="I11" s="62">
        <v>0.85</v>
      </c>
      <c r="J11" s="84"/>
      <c r="L11" s="263" t="s">
        <v>77</v>
      </c>
      <c r="M11" s="264">
        <v>0.6</v>
      </c>
      <c r="N11" s="264">
        <v>0.6</v>
      </c>
      <c r="O11" s="88"/>
    </row>
    <row r="12" spans="1:22" ht="21.75" x14ac:dyDescent="0.2">
      <c r="G12" s="85" t="s">
        <v>41</v>
      </c>
      <c r="H12" s="60" t="s">
        <v>121</v>
      </c>
      <c r="I12" s="62">
        <v>0.65</v>
      </c>
      <c r="J12" s="84"/>
      <c r="L12" s="263"/>
      <c r="M12" s="264"/>
      <c r="N12" s="264"/>
      <c r="O12" s="88"/>
    </row>
    <row r="13" spans="1:22" ht="21.75" x14ac:dyDescent="0.2">
      <c r="G13" s="59" t="s">
        <v>42</v>
      </c>
      <c r="H13" s="60" t="s">
        <v>43</v>
      </c>
      <c r="I13" s="62">
        <v>0.5</v>
      </c>
      <c r="J13" s="84"/>
      <c r="L13" s="263" t="s">
        <v>79</v>
      </c>
      <c r="M13" s="264">
        <v>0.7</v>
      </c>
      <c r="N13" s="264">
        <v>0.7</v>
      </c>
      <c r="O13" s="88"/>
    </row>
    <row r="14" spans="1:22" ht="22.5" x14ac:dyDescent="0.2">
      <c r="A14" s="262" t="s">
        <v>34</v>
      </c>
      <c r="B14" s="262"/>
      <c r="D14" s="261" t="s">
        <v>62</v>
      </c>
      <c r="E14" s="261"/>
      <c r="G14" s="59" t="s">
        <v>18</v>
      </c>
      <c r="H14" s="60" t="s">
        <v>43</v>
      </c>
      <c r="I14" s="62">
        <v>0.7</v>
      </c>
      <c r="J14" s="84"/>
      <c r="L14" s="263"/>
      <c r="M14" s="264"/>
      <c r="N14" s="264"/>
      <c r="O14" s="88"/>
    </row>
    <row r="15" spans="1:22" ht="22.5" x14ac:dyDescent="0.2">
      <c r="A15" s="94" t="s">
        <v>6</v>
      </c>
      <c r="B15" s="94" t="s">
        <v>116</v>
      </c>
      <c r="D15" s="91" t="s">
        <v>63</v>
      </c>
      <c r="E15" s="91" t="s">
        <v>3</v>
      </c>
      <c r="G15" s="59" t="s">
        <v>14</v>
      </c>
      <c r="H15" s="60" t="s">
        <v>43</v>
      </c>
      <c r="I15" s="62">
        <v>0.55000000000000004</v>
      </c>
      <c r="J15" s="84"/>
      <c r="L15" s="272" t="s">
        <v>87</v>
      </c>
      <c r="M15" s="264" t="s">
        <v>38</v>
      </c>
      <c r="N15" s="267"/>
      <c r="O15" s="265" t="s">
        <v>88</v>
      </c>
      <c r="V15" s="89"/>
    </row>
    <row r="16" spans="1:22" ht="21.75" x14ac:dyDescent="0.2">
      <c r="A16" s="95" t="s">
        <v>30</v>
      </c>
      <c r="B16" s="96">
        <v>1.2</v>
      </c>
      <c r="D16" s="92" t="s">
        <v>64</v>
      </c>
      <c r="E16" s="93">
        <v>0.9</v>
      </c>
      <c r="G16" s="59" t="s">
        <v>44</v>
      </c>
      <c r="H16" s="60" t="s">
        <v>43</v>
      </c>
      <c r="I16" s="62">
        <v>0.5</v>
      </c>
      <c r="J16" s="60" t="s">
        <v>47</v>
      </c>
      <c r="L16" s="272"/>
      <c r="M16" s="264"/>
      <c r="N16" s="267"/>
      <c r="O16" s="265"/>
    </row>
    <row r="17" spans="1:15" ht="21.75" customHeight="1" x14ac:dyDescent="0.2">
      <c r="A17" s="95" t="s">
        <v>28</v>
      </c>
      <c r="B17" s="96">
        <v>1.8</v>
      </c>
      <c r="D17" s="92" t="s">
        <v>65</v>
      </c>
      <c r="E17" s="93">
        <v>0.95</v>
      </c>
      <c r="G17" s="59" t="s">
        <v>45</v>
      </c>
      <c r="H17" s="60">
        <v>1.1000000000000001</v>
      </c>
      <c r="I17" s="62">
        <v>1.1000000000000001</v>
      </c>
      <c r="J17" s="60" t="s">
        <v>48</v>
      </c>
      <c r="L17" s="265" t="s">
        <v>122</v>
      </c>
      <c r="M17" s="264" t="s">
        <v>37</v>
      </c>
      <c r="N17" s="267"/>
      <c r="O17" s="265" t="s">
        <v>89</v>
      </c>
    </row>
    <row r="18" spans="1:15" ht="21.75" x14ac:dyDescent="0.2">
      <c r="A18" s="95" t="s">
        <v>29</v>
      </c>
      <c r="B18" s="96">
        <v>2.4</v>
      </c>
      <c r="D18" s="92" t="s">
        <v>66</v>
      </c>
      <c r="E18" s="93">
        <v>1</v>
      </c>
      <c r="G18" s="59" t="s">
        <v>17</v>
      </c>
      <c r="H18" s="60" t="s">
        <v>51</v>
      </c>
      <c r="I18" s="62">
        <v>0.9</v>
      </c>
      <c r="J18" s="60" t="s">
        <v>49</v>
      </c>
      <c r="L18" s="265"/>
      <c r="M18" s="264"/>
      <c r="N18" s="267"/>
      <c r="O18" s="265"/>
    </row>
    <row r="19" spans="1:15" ht="21.75" x14ac:dyDescent="0.2">
      <c r="D19" s="92" t="s">
        <v>92</v>
      </c>
      <c r="E19" s="93" t="s">
        <v>72</v>
      </c>
      <c r="G19" s="59" t="s">
        <v>46</v>
      </c>
      <c r="H19" s="60" t="s">
        <v>50</v>
      </c>
      <c r="I19" s="62">
        <v>1.1000000000000001</v>
      </c>
      <c r="J19" s="63" t="s">
        <v>120</v>
      </c>
      <c r="L19" s="265"/>
      <c r="M19" s="264"/>
      <c r="N19" s="267"/>
      <c r="O19" s="265"/>
    </row>
    <row r="20" spans="1:15" ht="21.75" x14ac:dyDescent="0.2">
      <c r="G20" s="59" t="s">
        <v>19</v>
      </c>
      <c r="H20" s="60" t="s">
        <v>52</v>
      </c>
      <c r="I20" s="62">
        <v>0.5</v>
      </c>
      <c r="J20" s="84"/>
    </row>
    <row r="21" spans="1:15" ht="21.75" x14ac:dyDescent="0.2">
      <c r="G21" s="59" t="s">
        <v>61</v>
      </c>
      <c r="H21" s="60" t="s">
        <v>52</v>
      </c>
      <c r="I21" s="62">
        <v>0.5</v>
      </c>
      <c r="J21" s="84"/>
    </row>
    <row r="22" spans="1:15" ht="21.75" x14ac:dyDescent="0.2">
      <c r="G22" s="59" t="s">
        <v>53</v>
      </c>
      <c r="H22" s="60">
        <v>1.2</v>
      </c>
      <c r="I22" s="62">
        <v>1.2</v>
      </c>
      <c r="J22" s="60" t="s">
        <v>59</v>
      </c>
    </row>
    <row r="23" spans="1:15" ht="21.75" x14ac:dyDescent="0.4">
      <c r="C23" s="5"/>
      <c r="D23" s="5"/>
      <c r="E23" s="5"/>
      <c r="F23" s="5"/>
      <c r="G23" s="59" t="s">
        <v>58</v>
      </c>
      <c r="H23" s="60">
        <v>1.2</v>
      </c>
      <c r="I23" s="62">
        <v>1.2</v>
      </c>
      <c r="J23" s="60" t="s">
        <v>59</v>
      </c>
      <c r="K23" s="1"/>
      <c r="L23" s="1"/>
    </row>
    <row r="24" spans="1:15" ht="21.75" x14ac:dyDescent="0.2">
      <c r="G24" s="59" t="s">
        <v>54</v>
      </c>
      <c r="H24" s="60">
        <v>0.35</v>
      </c>
      <c r="I24" s="62">
        <v>0.35</v>
      </c>
      <c r="J24" s="84"/>
    </row>
    <row r="25" spans="1:15" ht="21.75" x14ac:dyDescent="0.2">
      <c r="G25" s="59" t="s">
        <v>55</v>
      </c>
      <c r="H25" s="60">
        <v>0.35</v>
      </c>
      <c r="I25" s="62">
        <v>0.35</v>
      </c>
      <c r="J25" s="61" t="s">
        <v>56</v>
      </c>
    </row>
    <row r="26" spans="1:15" ht="21.75" customHeight="1" x14ac:dyDescent="0.2">
      <c r="G26" s="268" t="s">
        <v>124</v>
      </c>
      <c r="H26" s="268"/>
      <c r="I26" s="268"/>
      <c r="J26" s="268"/>
    </row>
    <row r="27" spans="1:15" ht="21" customHeight="1" x14ac:dyDescent="0.2">
      <c r="G27" s="269"/>
      <c r="H27" s="269"/>
      <c r="I27" s="269"/>
      <c r="J27" s="269"/>
    </row>
    <row r="28" spans="1:15" ht="14.25" customHeight="1" x14ac:dyDescent="0.5">
      <c r="G28" s="97"/>
      <c r="H28" s="97"/>
      <c r="I28" s="97"/>
      <c r="J28" s="97"/>
    </row>
  </sheetData>
  <sheetProtection algorithmName="SHA-512" hashValue="NO23ed6IRBjUxYk0IPwr/K8phroYK42sxXhPPlzxEuEmj4v55gp3tVSFGYC8lpM5PNLovI/VF11oVCUxL32sNQ==" saltValue="9FJRUCR0SZU0sjqzvuknXw==" spinCount="100000" sheet="1" objects="1" scenarios="1"/>
  <customSheetViews>
    <customSheetView guid="{2AB27FB0-6750-413F-B436-DA6A7082F863}" showPageBreaks="1" fitToPage="1" printArea="1">
      <selection activeCell="N23" sqref="N23"/>
      <pageMargins left="0.7" right="0.7" top="0.75" bottom="0.75" header="0.3" footer="0.3"/>
      <pageSetup paperSize="9" scale="66" orientation="landscape" r:id="rId1"/>
    </customSheetView>
  </customSheetViews>
  <mergeCells count="27">
    <mergeCell ref="A1:O1"/>
    <mergeCell ref="N17:N19"/>
    <mergeCell ref="G26:J27"/>
    <mergeCell ref="D7:D8"/>
    <mergeCell ref="E7:E8"/>
    <mergeCell ref="D9:D10"/>
    <mergeCell ref="E9:E10"/>
    <mergeCell ref="M15:M16"/>
    <mergeCell ref="O15:O16"/>
    <mergeCell ref="L15:L16"/>
    <mergeCell ref="N15:N16"/>
    <mergeCell ref="N11:N12"/>
    <mergeCell ref="N13:N14"/>
    <mergeCell ref="O6:O10"/>
    <mergeCell ref="L3:O3"/>
    <mergeCell ref="O17:O19"/>
    <mergeCell ref="L11:L12"/>
    <mergeCell ref="M11:M12"/>
    <mergeCell ref="L13:L14"/>
    <mergeCell ref="M13:M14"/>
    <mergeCell ref="L17:L19"/>
    <mergeCell ref="M17:M19"/>
    <mergeCell ref="G3:J3"/>
    <mergeCell ref="D14:E14"/>
    <mergeCell ref="A14:B14"/>
    <mergeCell ref="A3:B3"/>
    <mergeCell ref="D3:E3"/>
  </mergeCells>
  <pageMargins left="0.7" right="0.7" top="0.75" bottom="0.75" header="0.3" footer="0.3"/>
  <pageSetup paperSize="9" scale="66"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22"/>
  <sheetViews>
    <sheetView rightToLeft="1" zoomScaleNormal="100" workbookViewId="0">
      <selection sqref="A1:N1"/>
    </sheetView>
  </sheetViews>
  <sheetFormatPr defaultRowHeight="14.25" x14ac:dyDescent="0.2"/>
  <cols>
    <col min="1" max="13" width="15.75" customWidth="1"/>
    <col min="14" max="14" width="16.625" customWidth="1"/>
    <col min="15" max="15" width="11.375" customWidth="1"/>
  </cols>
  <sheetData>
    <row r="1" spans="1:15" ht="40.5" x14ac:dyDescent="1.05">
      <c r="A1" s="275" t="s">
        <v>218</v>
      </c>
      <c r="B1" s="276"/>
      <c r="C1" s="276"/>
      <c r="D1" s="276"/>
      <c r="E1" s="276"/>
      <c r="F1" s="276"/>
      <c r="G1" s="276"/>
      <c r="H1" s="276"/>
      <c r="I1" s="276"/>
      <c r="J1" s="276"/>
      <c r="K1" s="276"/>
      <c r="L1" s="276"/>
      <c r="M1" s="276"/>
      <c r="N1" s="277"/>
      <c r="O1" s="50"/>
    </row>
    <row r="2" spans="1:15" ht="11.25" customHeight="1" thickBot="1" x14ac:dyDescent="0.25">
      <c r="G2" s="5"/>
      <c r="H2" s="5"/>
      <c r="I2" s="5"/>
      <c r="J2" s="5"/>
      <c r="K2" s="5"/>
      <c r="L2" s="5"/>
      <c r="M2" s="5"/>
      <c r="N2" s="5"/>
    </row>
    <row r="3" spans="1:15" ht="24.75" customHeight="1" x14ac:dyDescent="0.2">
      <c r="A3" s="282" t="s">
        <v>107</v>
      </c>
      <c r="B3" s="283"/>
      <c r="C3" s="283"/>
      <c r="D3" s="283"/>
      <c r="E3" s="283"/>
      <c r="F3" s="283"/>
      <c r="G3" s="283"/>
      <c r="H3" s="283"/>
      <c r="I3" s="283"/>
      <c r="J3" s="283"/>
      <c r="K3" s="283"/>
      <c r="L3" s="283"/>
      <c r="M3" s="283"/>
      <c r="N3" s="284"/>
    </row>
    <row r="4" spans="1:15" ht="45" customHeight="1" x14ac:dyDescent="0.2">
      <c r="A4" s="53" t="s">
        <v>141</v>
      </c>
      <c r="B4" s="54" t="s">
        <v>24</v>
      </c>
      <c r="C4" s="54" t="s">
        <v>85</v>
      </c>
      <c r="D4" s="54" t="s">
        <v>117</v>
      </c>
      <c r="E4" s="54" t="s">
        <v>115</v>
      </c>
      <c r="F4" s="54" t="s">
        <v>93</v>
      </c>
      <c r="G4" s="54" t="s">
        <v>94</v>
      </c>
      <c r="H4" s="54" t="s">
        <v>90</v>
      </c>
      <c r="I4" s="54" t="s">
        <v>91</v>
      </c>
      <c r="J4" s="54" t="s">
        <v>31</v>
      </c>
      <c r="K4" s="54" t="s">
        <v>32</v>
      </c>
      <c r="L4" s="54" t="s">
        <v>7</v>
      </c>
      <c r="M4" s="55" t="s">
        <v>103</v>
      </c>
      <c r="N4" s="56" t="s">
        <v>108</v>
      </c>
    </row>
    <row r="5" spans="1:15" ht="21.75" x14ac:dyDescent="0.2">
      <c r="A5" s="12" t="s">
        <v>8</v>
      </c>
      <c r="B5" s="2" t="s">
        <v>136</v>
      </c>
      <c r="C5" s="2" t="s">
        <v>22</v>
      </c>
      <c r="D5" s="2" t="s">
        <v>27</v>
      </c>
      <c r="E5" s="3">
        <v>180</v>
      </c>
      <c r="F5" s="2" t="s">
        <v>66</v>
      </c>
      <c r="G5" s="2" t="s">
        <v>21</v>
      </c>
      <c r="H5" s="3">
        <v>8</v>
      </c>
      <c r="I5" s="4">
        <v>25</v>
      </c>
      <c r="J5" s="3">
        <f>H5*I5</f>
        <v>200</v>
      </c>
      <c r="K5" s="3">
        <v>20</v>
      </c>
      <c r="L5" s="2" t="s">
        <v>33</v>
      </c>
      <c r="M5" s="48" t="s">
        <v>104</v>
      </c>
      <c r="N5" s="13">
        <v>330000000</v>
      </c>
    </row>
    <row r="6" spans="1:15" ht="21.75" x14ac:dyDescent="0.2">
      <c r="A6" s="12" t="s">
        <v>9</v>
      </c>
      <c r="B6" s="2" t="s">
        <v>83</v>
      </c>
      <c r="C6" s="2" t="s">
        <v>23</v>
      </c>
      <c r="D6" s="2" t="str">
        <f>D5</f>
        <v>مسکونی</v>
      </c>
      <c r="E6" s="3">
        <v>135</v>
      </c>
      <c r="F6" s="2" t="s">
        <v>67</v>
      </c>
      <c r="G6" s="2" t="s">
        <v>21</v>
      </c>
      <c r="H6" s="3">
        <v>6</v>
      </c>
      <c r="I6" s="4">
        <v>20</v>
      </c>
      <c r="J6" s="3">
        <f t="shared" ref="J6:J7" si="0">H6*I6</f>
        <v>120</v>
      </c>
      <c r="K6" s="3">
        <v>10</v>
      </c>
      <c r="L6" s="2" t="s">
        <v>33</v>
      </c>
      <c r="M6" s="48" t="s">
        <v>104</v>
      </c>
      <c r="N6" s="13">
        <v>300000000</v>
      </c>
    </row>
    <row r="7" spans="1:15" ht="21.75" x14ac:dyDescent="0.2">
      <c r="A7" s="12" t="s">
        <v>10</v>
      </c>
      <c r="B7" s="2" t="s">
        <v>83</v>
      </c>
      <c r="C7" s="2" t="s">
        <v>22</v>
      </c>
      <c r="D7" s="2" t="str">
        <f>D6</f>
        <v>مسکونی</v>
      </c>
      <c r="E7" s="3">
        <v>240</v>
      </c>
      <c r="F7" s="2" t="s">
        <v>66</v>
      </c>
      <c r="G7" s="2" t="s">
        <v>21</v>
      </c>
      <c r="H7" s="3">
        <v>12</v>
      </c>
      <c r="I7" s="4">
        <v>25</v>
      </c>
      <c r="J7" s="3">
        <f t="shared" si="0"/>
        <v>300</v>
      </c>
      <c r="K7" s="3">
        <v>12</v>
      </c>
      <c r="L7" s="2" t="s">
        <v>33</v>
      </c>
      <c r="M7" s="48" t="s">
        <v>104</v>
      </c>
      <c r="N7" s="13">
        <v>380000000</v>
      </c>
    </row>
    <row r="8" spans="1:15" ht="22.5" thickBot="1" x14ac:dyDescent="0.25">
      <c r="A8" s="14" t="s">
        <v>95</v>
      </c>
      <c r="B8" s="15" t="s">
        <v>83</v>
      </c>
      <c r="C8" s="15" t="s">
        <v>22</v>
      </c>
      <c r="D8" s="15" t="str">
        <f>D7</f>
        <v>مسکونی</v>
      </c>
      <c r="E8" s="73">
        <v>255</v>
      </c>
      <c r="F8" s="16" t="s">
        <v>67</v>
      </c>
      <c r="G8" s="17" t="s">
        <v>137</v>
      </c>
      <c r="H8" s="18">
        <v>10</v>
      </c>
      <c r="I8" s="18">
        <v>32</v>
      </c>
      <c r="J8" s="18">
        <f>H8*I8</f>
        <v>320</v>
      </c>
      <c r="K8" s="18">
        <v>16</v>
      </c>
      <c r="L8" s="15" t="s">
        <v>33</v>
      </c>
      <c r="M8" s="49" t="s">
        <v>104</v>
      </c>
      <c r="N8" s="19" t="s">
        <v>96</v>
      </c>
    </row>
    <row r="9" spans="1:15" ht="21.75" x14ac:dyDescent="0.2">
      <c r="A9" s="7"/>
      <c r="B9" s="90"/>
      <c r="C9" s="8"/>
      <c r="D9" s="8"/>
      <c r="E9" s="8"/>
      <c r="F9" s="8"/>
      <c r="G9" s="5"/>
      <c r="H9" s="5"/>
      <c r="I9" s="5"/>
      <c r="J9" s="5"/>
      <c r="K9" s="5"/>
      <c r="L9" s="5"/>
      <c r="M9" s="5"/>
      <c r="N9" s="5"/>
    </row>
    <row r="10" spans="1:15" ht="22.5" x14ac:dyDescent="0.2">
      <c r="A10" s="279" t="s">
        <v>133</v>
      </c>
      <c r="B10" s="279"/>
      <c r="C10" s="5"/>
      <c r="D10" s="9"/>
      <c r="E10" s="9"/>
      <c r="F10" s="9"/>
      <c r="G10" s="5"/>
      <c r="H10" s="9"/>
      <c r="I10" s="9"/>
      <c r="J10" s="9"/>
      <c r="K10" s="9"/>
      <c r="L10" s="5"/>
      <c r="M10" s="5"/>
      <c r="N10" s="5"/>
    </row>
    <row r="11" spans="1:15" ht="43.5" customHeight="1" thickBot="1" x14ac:dyDescent="0.25">
      <c r="A11" s="53" t="s">
        <v>141</v>
      </c>
      <c r="B11" s="22" t="s">
        <v>82</v>
      </c>
      <c r="C11" s="22" t="s">
        <v>84</v>
      </c>
      <c r="D11" s="22" t="s">
        <v>20</v>
      </c>
      <c r="E11" s="22" t="s">
        <v>34</v>
      </c>
      <c r="F11" s="22" t="s">
        <v>100</v>
      </c>
      <c r="G11" s="22" t="s">
        <v>69</v>
      </c>
      <c r="H11" s="22" t="s">
        <v>0</v>
      </c>
      <c r="I11" s="22" t="s">
        <v>68</v>
      </c>
      <c r="J11" s="22" t="s">
        <v>101</v>
      </c>
      <c r="K11" s="22" t="s">
        <v>1</v>
      </c>
      <c r="L11" s="23" t="s">
        <v>102</v>
      </c>
      <c r="M11" s="23" t="s">
        <v>2</v>
      </c>
      <c r="N11" s="57" t="s">
        <v>109</v>
      </c>
      <c r="O11" s="67" t="s">
        <v>114</v>
      </c>
    </row>
    <row r="12" spans="1:15" ht="21.75" customHeight="1" x14ac:dyDescent="0.2">
      <c r="A12" s="24" t="s">
        <v>8</v>
      </c>
      <c r="B12" s="26">
        <v>0.85</v>
      </c>
      <c r="C12" s="26">
        <v>1</v>
      </c>
      <c r="D12" s="26">
        <v>1</v>
      </c>
      <c r="E12" s="25">
        <v>1</v>
      </c>
      <c r="F12" s="26">
        <v>1</v>
      </c>
      <c r="G12" s="26">
        <v>1</v>
      </c>
      <c r="H12" s="25">
        <v>1</v>
      </c>
      <c r="I12" s="25">
        <v>1</v>
      </c>
      <c r="J12" s="25">
        <v>1</v>
      </c>
      <c r="K12" s="26">
        <v>1</v>
      </c>
      <c r="L12" s="26">
        <v>1</v>
      </c>
      <c r="M12" s="25">
        <f>B12*C12*D12*E12*F12*G12*H12*I12*J12*K12*L12</f>
        <v>0.85</v>
      </c>
      <c r="N12" s="27">
        <f>N5</f>
        <v>330000000</v>
      </c>
      <c r="O12" s="68"/>
    </row>
    <row r="13" spans="1:15" ht="22.5" thickBot="1" x14ac:dyDescent="0.25">
      <c r="A13" s="28" t="s">
        <v>97</v>
      </c>
      <c r="B13" s="30">
        <v>1</v>
      </c>
      <c r="C13" s="30">
        <v>1</v>
      </c>
      <c r="D13" s="30">
        <v>1</v>
      </c>
      <c r="E13" s="29">
        <f>(E8/E5)^(1/2.5)</f>
        <v>1.1494949565639363</v>
      </c>
      <c r="F13" s="30">
        <v>1.05</v>
      </c>
      <c r="G13" s="30">
        <v>1.05</v>
      </c>
      <c r="H13" s="29">
        <f>($J$5/J8)^(1/6)</f>
        <v>0.92465559714866186</v>
      </c>
      <c r="I13" s="29">
        <f>((H8/I8)/(H5/I5))^(1/8)</f>
        <v>0.99703982415890158</v>
      </c>
      <c r="J13" s="29">
        <f>IF(K8&gt;K5, (1+(K8-K5)/(4*K8)),1/(1+(K5-K8)/(4*K5)))</f>
        <v>0.95238095238095233</v>
      </c>
      <c r="K13" s="30">
        <v>1</v>
      </c>
      <c r="L13" s="30">
        <v>1</v>
      </c>
      <c r="M13" s="29">
        <f t="shared" ref="M13:M17" si="1">B13*C13*D13*E13*F13*G13*H13*I13*J13*K13*L13</f>
        <v>1.1127276438843285</v>
      </c>
      <c r="N13" s="31">
        <f>ROUND(M13*N12/M12,-6)</f>
        <v>432000000</v>
      </c>
      <c r="O13" s="69" t="str">
        <f>IF(AND(N13&lt;=(N$18+2*N$19),N13&gt;=(N$18-2*N$19)),"OK","Outlier")</f>
        <v>OK</v>
      </c>
    </row>
    <row r="14" spans="1:15" ht="21.75" x14ac:dyDescent="0.2">
      <c r="A14" s="32" t="s">
        <v>9</v>
      </c>
      <c r="B14" s="34">
        <v>1</v>
      </c>
      <c r="C14" s="34">
        <v>0.9</v>
      </c>
      <c r="D14" s="34">
        <v>1</v>
      </c>
      <c r="E14" s="33">
        <v>1</v>
      </c>
      <c r="F14" s="34">
        <v>1.05</v>
      </c>
      <c r="G14" s="34">
        <v>1</v>
      </c>
      <c r="H14" s="33">
        <v>1</v>
      </c>
      <c r="I14" s="33">
        <v>1</v>
      </c>
      <c r="J14" s="33">
        <v>1</v>
      </c>
      <c r="K14" s="34">
        <v>1</v>
      </c>
      <c r="L14" s="34">
        <v>1</v>
      </c>
      <c r="M14" s="33">
        <f t="shared" si="1"/>
        <v>0.94500000000000006</v>
      </c>
      <c r="N14" s="35">
        <f>N6</f>
        <v>300000000</v>
      </c>
      <c r="O14" s="69"/>
    </row>
    <row r="15" spans="1:15" ht="22.5" thickBot="1" x14ac:dyDescent="0.25">
      <c r="A15" s="36" t="s">
        <v>98</v>
      </c>
      <c r="B15" s="38">
        <v>1</v>
      </c>
      <c r="C15" s="38">
        <v>1</v>
      </c>
      <c r="D15" s="38">
        <v>1</v>
      </c>
      <c r="E15" s="37">
        <f>(E8/E6)^(1/2.5)</f>
        <v>1.2896817811813639</v>
      </c>
      <c r="F15" s="38">
        <v>1.05</v>
      </c>
      <c r="G15" s="38">
        <v>1.05</v>
      </c>
      <c r="H15" s="37">
        <f>($J$6/J8)^(1/6)</f>
        <v>0.8491906647824764</v>
      </c>
      <c r="I15" s="37">
        <f>((H8/I8)/(H6/I6))^(1/8)</f>
        <v>1.00511579051287</v>
      </c>
      <c r="J15" s="37">
        <f>IF(K8&gt;K6, (1+(K8-K6)/(4*K8)),1/(1+(K6-K8)/(4*K6)))</f>
        <v>1.09375</v>
      </c>
      <c r="K15" s="38">
        <v>1</v>
      </c>
      <c r="L15" s="38">
        <v>1</v>
      </c>
      <c r="M15" s="37">
        <f t="shared" si="1"/>
        <v>1.3273960962992473</v>
      </c>
      <c r="N15" s="39">
        <f>ROUND(M15*N14/M14,-6)</f>
        <v>421000000</v>
      </c>
      <c r="O15" s="69" t="str">
        <f t="shared" ref="O15:O17" si="2">IF(AND(N15&lt;=(N$18+2*N$19),N15&gt;=(N$18-2*N$19)),"OK","Outlier")</f>
        <v>OK</v>
      </c>
    </row>
    <row r="16" spans="1:15" ht="21.75" x14ac:dyDescent="0.2">
      <c r="A16" s="40" t="s">
        <v>10</v>
      </c>
      <c r="B16" s="42">
        <v>1</v>
      </c>
      <c r="C16" s="42">
        <v>1</v>
      </c>
      <c r="D16" s="42">
        <v>1</v>
      </c>
      <c r="E16" s="41">
        <v>1</v>
      </c>
      <c r="F16" s="42">
        <v>1</v>
      </c>
      <c r="G16" s="42">
        <v>1</v>
      </c>
      <c r="H16" s="41">
        <v>1</v>
      </c>
      <c r="I16" s="41">
        <v>1</v>
      </c>
      <c r="J16" s="41">
        <v>1</v>
      </c>
      <c r="K16" s="42">
        <v>1</v>
      </c>
      <c r="L16" s="42">
        <v>1</v>
      </c>
      <c r="M16" s="41">
        <f t="shared" si="1"/>
        <v>1</v>
      </c>
      <c r="N16" s="43">
        <f>N7</f>
        <v>380000000</v>
      </c>
      <c r="O16" s="69"/>
    </row>
    <row r="17" spans="1:15" ht="22.5" thickBot="1" x14ac:dyDescent="0.25">
      <c r="A17" s="44" t="s">
        <v>99</v>
      </c>
      <c r="B17" s="46">
        <v>1</v>
      </c>
      <c r="C17" s="46">
        <v>1</v>
      </c>
      <c r="D17" s="46">
        <v>1</v>
      </c>
      <c r="E17" s="45">
        <f>(E8/E7)^(1/2.5)</f>
        <v>1.0245462674951984</v>
      </c>
      <c r="F17" s="46">
        <v>1.05</v>
      </c>
      <c r="G17" s="46">
        <v>1.05</v>
      </c>
      <c r="H17" s="45">
        <f>($J$7/J8)^(1/6)</f>
        <v>0.98930122323396319</v>
      </c>
      <c r="I17" s="45">
        <f>((H8/I8)/(H7/I7))^(1/8)</f>
        <v>0.94776594152127591</v>
      </c>
      <c r="J17" s="45">
        <f>IF(K8&gt;K7, (1+(K8-K7)/(4*K8)),1/(1+(K7-K8)/(4*K7)))</f>
        <v>1.0625</v>
      </c>
      <c r="K17" s="46">
        <v>1</v>
      </c>
      <c r="L17" s="46">
        <v>1</v>
      </c>
      <c r="M17" s="45">
        <f t="shared" si="1"/>
        <v>1.1253011338278454</v>
      </c>
      <c r="N17" s="47">
        <f>ROUND(M17*N16/M16,-6)</f>
        <v>428000000</v>
      </c>
      <c r="O17" s="69" t="str">
        <f t="shared" si="2"/>
        <v>OK</v>
      </c>
    </row>
    <row r="18" spans="1:15" ht="24" x14ac:dyDescent="0.2">
      <c r="A18" s="10"/>
      <c r="B18" s="5"/>
      <c r="C18" s="5"/>
      <c r="D18" s="7"/>
      <c r="E18" s="5"/>
      <c r="F18" s="11"/>
      <c r="G18" s="11"/>
      <c r="H18" s="5"/>
      <c r="I18" s="11"/>
      <c r="J18" s="11"/>
      <c r="K18" s="280" t="s">
        <v>112</v>
      </c>
      <c r="L18" s="280"/>
      <c r="M18" s="280"/>
      <c r="N18" s="70">
        <f>ROUND(AVERAGE(N13,N15,N17),-6)</f>
        <v>427000000</v>
      </c>
    </row>
    <row r="19" spans="1:15" ht="24" x14ac:dyDescent="0.2">
      <c r="A19" s="10"/>
      <c r="B19" s="5"/>
      <c r="C19" s="5"/>
      <c r="D19" s="7"/>
      <c r="E19" s="5"/>
      <c r="F19" s="11"/>
      <c r="G19" s="11"/>
      <c r="H19" s="5"/>
      <c r="I19" s="11"/>
      <c r="J19" s="11"/>
      <c r="K19" s="287" t="s">
        <v>113</v>
      </c>
      <c r="L19" s="288"/>
      <c r="M19" s="289"/>
      <c r="N19" s="66">
        <f>ROUND(_xlfn.STDEV.S(N13,N15,N17),-3)</f>
        <v>5568000</v>
      </c>
    </row>
    <row r="20" spans="1:15" ht="24" x14ac:dyDescent="0.4">
      <c r="A20" s="1"/>
      <c r="B20" s="1"/>
      <c r="C20" s="1"/>
      <c r="D20" s="1"/>
      <c r="E20" s="1"/>
      <c r="F20" s="1"/>
      <c r="G20" s="1"/>
      <c r="H20" s="1"/>
      <c r="I20" s="1"/>
      <c r="J20" s="1"/>
      <c r="K20" s="281" t="s">
        <v>110</v>
      </c>
      <c r="L20" s="281"/>
      <c r="M20" s="281"/>
      <c r="N20" s="66">
        <f>N18*J8</f>
        <v>136640000000</v>
      </c>
    </row>
    <row r="21" spans="1:15" ht="24" x14ac:dyDescent="0.55000000000000004">
      <c r="A21" s="285" t="s">
        <v>111</v>
      </c>
      <c r="B21" s="285"/>
      <c r="C21" s="285"/>
      <c r="D21" s="285"/>
      <c r="E21" s="285"/>
      <c r="F21" s="285"/>
      <c r="G21" s="285"/>
      <c r="H21" s="285"/>
      <c r="I21" s="285"/>
      <c r="J21" s="285"/>
      <c r="K21" s="286" t="s">
        <v>105</v>
      </c>
      <c r="L21" s="286"/>
      <c r="M21" s="286"/>
      <c r="N21" s="71">
        <v>0.9</v>
      </c>
    </row>
    <row r="22" spans="1:15" ht="24" x14ac:dyDescent="0.55000000000000004">
      <c r="K22" s="278" t="s">
        <v>106</v>
      </c>
      <c r="L22" s="278"/>
      <c r="M22" s="278"/>
      <c r="N22" s="72">
        <f>N20*N21</f>
        <v>122976000000</v>
      </c>
    </row>
  </sheetData>
  <customSheetViews>
    <customSheetView guid="{2AB27FB0-6750-413F-B436-DA6A7082F863}" fitToPage="1" printArea="1">
      <selection sqref="A1:N1"/>
      <pageMargins left="0.7" right="0.7" top="0.75" bottom="0.75" header="0.3" footer="0.3"/>
      <pageSetup paperSize="9" scale="54" orientation="landscape" r:id="rId1"/>
    </customSheetView>
  </customSheetViews>
  <mergeCells count="9">
    <mergeCell ref="A1:N1"/>
    <mergeCell ref="K22:M22"/>
    <mergeCell ref="A10:B10"/>
    <mergeCell ref="K18:M18"/>
    <mergeCell ref="K20:M20"/>
    <mergeCell ref="A3:N3"/>
    <mergeCell ref="A21:J21"/>
    <mergeCell ref="K21:M21"/>
    <mergeCell ref="K19:M19"/>
  </mergeCells>
  <conditionalFormatting sqref="O13:O17">
    <cfRule type="containsText" dxfId="4" priority="1" operator="containsText" text="OK">
      <formula>NOT(ISERROR(SEARCH("OK",O13)))</formula>
    </cfRule>
  </conditionalFormatting>
  <pageMargins left="0.7" right="0.7" top="0.75" bottom="0.75" header="0.3" footer="0.3"/>
  <pageSetup paperSize="9" scale="54" orientation="landscape" r:id="rId2"/>
  <ignoredErrors>
    <ignoredError sqref="N16 N14" formula="1"/>
  </ignoredError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A6884-1B82-4C50-A856-7FA7B5C0A948}">
  <sheetPr>
    <pageSetUpPr fitToPage="1"/>
  </sheetPr>
  <dimension ref="A1:P29"/>
  <sheetViews>
    <sheetView rightToLeft="1" zoomScale="85" zoomScaleNormal="85" workbookViewId="0">
      <selection sqref="A1:N1"/>
    </sheetView>
  </sheetViews>
  <sheetFormatPr defaultRowHeight="14.25" x14ac:dyDescent="0.2"/>
  <cols>
    <col min="1" max="13" width="15.75" customWidth="1"/>
    <col min="14" max="14" width="16.625" customWidth="1"/>
    <col min="15" max="15" width="11.375" customWidth="1"/>
  </cols>
  <sheetData>
    <row r="1" spans="1:15" ht="40.5" x14ac:dyDescent="1.05">
      <c r="A1" s="275" t="s">
        <v>217</v>
      </c>
      <c r="B1" s="276"/>
      <c r="C1" s="276"/>
      <c r="D1" s="276"/>
      <c r="E1" s="276"/>
      <c r="F1" s="276"/>
      <c r="G1" s="276"/>
      <c r="H1" s="276"/>
      <c r="I1" s="276"/>
      <c r="J1" s="276"/>
      <c r="K1" s="276"/>
      <c r="L1" s="276"/>
      <c r="M1" s="276"/>
      <c r="N1" s="277"/>
      <c r="O1" s="50"/>
    </row>
    <row r="2" spans="1:15" ht="78" customHeight="1" x14ac:dyDescent="0.75">
      <c r="A2" s="296" t="s">
        <v>219</v>
      </c>
      <c r="B2" s="296"/>
      <c r="C2" s="296"/>
      <c r="D2" s="296"/>
      <c r="E2" s="296"/>
      <c r="F2" s="296"/>
      <c r="G2" s="296"/>
      <c r="H2" s="296"/>
      <c r="I2" s="296"/>
      <c r="J2" s="296"/>
      <c r="K2" s="296"/>
      <c r="L2" s="296"/>
      <c r="M2" s="296"/>
      <c r="N2" s="296"/>
      <c r="O2" s="50"/>
    </row>
    <row r="3" spans="1:15" ht="11.25" customHeight="1" thickBot="1" x14ac:dyDescent="0.25">
      <c r="G3" s="5"/>
      <c r="H3" s="5"/>
      <c r="I3" s="5"/>
      <c r="J3" s="5"/>
      <c r="K3" s="5"/>
      <c r="L3" s="5"/>
      <c r="M3" s="5"/>
      <c r="N3" s="5"/>
    </row>
    <row r="4" spans="1:15" ht="24.75" customHeight="1" x14ac:dyDescent="0.2">
      <c r="A4" s="290" t="s">
        <v>107</v>
      </c>
      <c r="B4" s="291"/>
      <c r="C4" s="291"/>
      <c r="D4" s="291"/>
      <c r="E4" s="291"/>
      <c r="F4" s="291"/>
      <c r="G4" s="291"/>
      <c r="H4" s="291"/>
      <c r="I4" s="291"/>
      <c r="J4" s="291"/>
      <c r="K4" s="291"/>
      <c r="L4" s="291"/>
      <c r="M4" s="291"/>
      <c r="N4" s="292"/>
    </row>
    <row r="5" spans="1:15" ht="45" customHeight="1" x14ac:dyDescent="0.2">
      <c r="A5" s="53" t="s">
        <v>141</v>
      </c>
      <c r="B5" s="54" t="s">
        <v>24</v>
      </c>
      <c r="C5" s="54" t="s">
        <v>85</v>
      </c>
      <c r="D5" s="54" t="s">
        <v>117</v>
      </c>
      <c r="E5" s="54" t="s">
        <v>115</v>
      </c>
      <c r="F5" s="54" t="s">
        <v>93</v>
      </c>
      <c r="G5" s="54" t="s">
        <v>94</v>
      </c>
      <c r="H5" s="54" t="s">
        <v>90</v>
      </c>
      <c r="I5" s="54" t="s">
        <v>91</v>
      </c>
      <c r="J5" s="54" t="s">
        <v>31</v>
      </c>
      <c r="K5" s="54" t="s">
        <v>32</v>
      </c>
      <c r="L5" s="54" t="s">
        <v>7</v>
      </c>
      <c r="M5" s="55" t="s">
        <v>103</v>
      </c>
      <c r="N5" s="56" t="s">
        <v>108</v>
      </c>
    </row>
    <row r="6" spans="1:15" ht="21.75" x14ac:dyDescent="0.2">
      <c r="A6" s="12" t="s">
        <v>8</v>
      </c>
      <c r="B6" s="2" t="s">
        <v>136</v>
      </c>
      <c r="C6" s="2" t="s">
        <v>22</v>
      </c>
      <c r="D6" s="2" t="s">
        <v>27</v>
      </c>
      <c r="E6" s="3">
        <v>180</v>
      </c>
      <c r="F6" s="2" t="s">
        <v>66</v>
      </c>
      <c r="G6" s="2" t="s">
        <v>21</v>
      </c>
      <c r="H6" s="3">
        <v>8</v>
      </c>
      <c r="I6" s="4">
        <v>25</v>
      </c>
      <c r="J6" s="3">
        <f>H6*I6</f>
        <v>200</v>
      </c>
      <c r="K6" s="3">
        <v>20</v>
      </c>
      <c r="L6" s="2" t="s">
        <v>33</v>
      </c>
      <c r="M6" s="48" t="s">
        <v>104</v>
      </c>
      <c r="N6" s="13">
        <v>330000000</v>
      </c>
    </row>
    <row r="7" spans="1:15" ht="21.75" x14ac:dyDescent="0.2">
      <c r="A7" s="12" t="s">
        <v>9</v>
      </c>
      <c r="B7" s="2" t="s">
        <v>83</v>
      </c>
      <c r="C7" s="2" t="s">
        <v>23</v>
      </c>
      <c r="D7" s="2" t="str">
        <f>D6</f>
        <v>مسکونی</v>
      </c>
      <c r="E7" s="3">
        <v>135</v>
      </c>
      <c r="F7" s="2" t="s">
        <v>67</v>
      </c>
      <c r="G7" s="2" t="s">
        <v>21</v>
      </c>
      <c r="H7" s="3">
        <v>6</v>
      </c>
      <c r="I7" s="4">
        <v>20</v>
      </c>
      <c r="J7" s="3">
        <f t="shared" ref="J7:J8" si="0">H7*I7</f>
        <v>120</v>
      </c>
      <c r="K7" s="3">
        <v>10</v>
      </c>
      <c r="L7" s="2" t="s">
        <v>33</v>
      </c>
      <c r="M7" s="48" t="s">
        <v>104</v>
      </c>
      <c r="N7" s="13">
        <v>300000000</v>
      </c>
    </row>
    <row r="8" spans="1:15" ht="21.75" x14ac:dyDescent="0.2">
      <c r="A8" s="12" t="s">
        <v>10</v>
      </c>
      <c r="B8" s="2" t="s">
        <v>83</v>
      </c>
      <c r="C8" s="2" t="s">
        <v>22</v>
      </c>
      <c r="D8" s="2" t="str">
        <f>D7</f>
        <v>مسکونی</v>
      </c>
      <c r="E8" s="3">
        <v>240</v>
      </c>
      <c r="F8" s="2" t="s">
        <v>66</v>
      </c>
      <c r="G8" s="2" t="s">
        <v>21</v>
      </c>
      <c r="H8" s="3">
        <v>12</v>
      </c>
      <c r="I8" s="4">
        <v>25</v>
      </c>
      <c r="J8" s="3">
        <f t="shared" si="0"/>
        <v>300</v>
      </c>
      <c r="K8" s="3">
        <v>12</v>
      </c>
      <c r="L8" s="2" t="s">
        <v>33</v>
      </c>
      <c r="M8" s="48" t="s">
        <v>104</v>
      </c>
      <c r="N8" s="13">
        <v>380000000</v>
      </c>
    </row>
    <row r="9" spans="1:15" ht="22.5" thickBot="1" x14ac:dyDescent="0.25">
      <c r="A9" s="98" t="s">
        <v>127</v>
      </c>
      <c r="B9" s="99" t="s">
        <v>83</v>
      </c>
      <c r="C9" s="99" t="s">
        <v>22</v>
      </c>
      <c r="D9" s="99" t="str">
        <f>D8</f>
        <v>مسکونی</v>
      </c>
      <c r="E9" s="100">
        <v>180</v>
      </c>
      <c r="F9" s="101" t="s">
        <v>66</v>
      </c>
      <c r="G9" s="102" t="s">
        <v>21</v>
      </c>
      <c r="H9" s="103">
        <v>10</v>
      </c>
      <c r="I9" s="103">
        <v>25</v>
      </c>
      <c r="J9" s="103">
        <f>H9*I9</f>
        <v>250</v>
      </c>
      <c r="K9" s="103">
        <v>12</v>
      </c>
      <c r="L9" s="99" t="s">
        <v>33</v>
      </c>
      <c r="M9" s="104" t="s">
        <v>104</v>
      </c>
      <c r="N9" s="110">
        <v>340000000</v>
      </c>
    </row>
    <row r="10" spans="1:15" ht="22.5" thickBot="1" x14ac:dyDescent="0.25">
      <c r="A10" s="14" t="s">
        <v>95</v>
      </c>
      <c r="B10" s="15" t="s">
        <v>83</v>
      </c>
      <c r="C10" s="15" t="s">
        <v>22</v>
      </c>
      <c r="D10" s="15" t="str">
        <f>D9</f>
        <v>مسکونی</v>
      </c>
      <c r="E10" s="73">
        <v>255</v>
      </c>
      <c r="F10" s="16" t="s">
        <v>67</v>
      </c>
      <c r="G10" s="17" t="s">
        <v>137</v>
      </c>
      <c r="H10" s="18">
        <v>10</v>
      </c>
      <c r="I10" s="18">
        <v>32</v>
      </c>
      <c r="J10" s="18">
        <f>H10*I10</f>
        <v>320</v>
      </c>
      <c r="K10" s="18">
        <v>16</v>
      </c>
      <c r="L10" s="15" t="s">
        <v>33</v>
      </c>
      <c r="M10" s="49" t="s">
        <v>104</v>
      </c>
      <c r="N10" s="19" t="s">
        <v>96</v>
      </c>
    </row>
    <row r="11" spans="1:15" ht="21.75" x14ac:dyDescent="0.2">
      <c r="A11" s="7"/>
      <c r="B11" s="90"/>
      <c r="C11" s="8"/>
      <c r="D11" s="8"/>
      <c r="E11" s="8"/>
      <c r="F11" s="8"/>
      <c r="G11" s="5"/>
      <c r="H11" s="5"/>
      <c r="I11" s="5"/>
      <c r="J11" s="5"/>
      <c r="K11" s="5"/>
      <c r="L11" s="5"/>
      <c r="M11" s="5"/>
      <c r="N11" s="5"/>
    </row>
    <row r="12" spans="1:15" ht="22.5" x14ac:dyDescent="0.2">
      <c r="A12" s="279" t="s">
        <v>140</v>
      </c>
      <c r="B12" s="279"/>
      <c r="C12" s="5"/>
      <c r="D12" s="9"/>
      <c r="E12" s="9"/>
      <c r="F12" s="9"/>
      <c r="G12" s="5"/>
      <c r="H12" s="9"/>
      <c r="I12" s="9"/>
      <c r="J12" s="9"/>
      <c r="K12" s="9"/>
      <c r="L12" s="5"/>
      <c r="M12" s="5"/>
      <c r="N12" s="5"/>
    </row>
    <row r="13" spans="1:15" ht="43.5" customHeight="1" thickBot="1" x14ac:dyDescent="0.25">
      <c r="A13" s="53" t="s">
        <v>141</v>
      </c>
      <c r="B13" s="22" t="s">
        <v>82</v>
      </c>
      <c r="C13" s="22" t="s">
        <v>84</v>
      </c>
      <c r="D13" s="22" t="s">
        <v>20</v>
      </c>
      <c r="E13" s="22" t="s">
        <v>34</v>
      </c>
      <c r="F13" s="22" t="s">
        <v>100</v>
      </c>
      <c r="G13" s="22" t="s">
        <v>69</v>
      </c>
      <c r="H13" s="22" t="s">
        <v>0</v>
      </c>
      <c r="I13" s="22" t="s">
        <v>68</v>
      </c>
      <c r="J13" s="22" t="s">
        <v>101</v>
      </c>
      <c r="K13" s="22" t="s">
        <v>1</v>
      </c>
      <c r="L13" s="23" t="s">
        <v>102</v>
      </c>
      <c r="M13" s="23" t="s">
        <v>2</v>
      </c>
      <c r="N13" s="57" t="s">
        <v>109</v>
      </c>
      <c r="O13" s="67" t="s">
        <v>114</v>
      </c>
    </row>
    <row r="14" spans="1:15" ht="21.75" customHeight="1" x14ac:dyDescent="0.2">
      <c r="A14" s="24" t="s">
        <v>8</v>
      </c>
      <c r="B14" s="26">
        <v>0.85</v>
      </c>
      <c r="C14" s="26">
        <v>1</v>
      </c>
      <c r="D14" s="26">
        <v>1</v>
      </c>
      <c r="E14" s="25">
        <v>1</v>
      </c>
      <c r="F14" s="26">
        <v>1</v>
      </c>
      <c r="G14" s="26">
        <v>1</v>
      </c>
      <c r="H14" s="25">
        <v>1</v>
      </c>
      <c r="I14" s="25">
        <v>1</v>
      </c>
      <c r="J14" s="25">
        <v>1</v>
      </c>
      <c r="K14" s="26">
        <v>1</v>
      </c>
      <c r="L14" s="26">
        <v>1</v>
      </c>
      <c r="M14" s="25">
        <f t="shared" ref="M14:M19" si="1">B14*C14*D14*E14*F14*G14*H14*I14*J14*K14*L14</f>
        <v>0.85</v>
      </c>
      <c r="N14" s="27">
        <f>N6</f>
        <v>330000000</v>
      </c>
      <c r="O14" s="68"/>
    </row>
    <row r="15" spans="1:15" ht="22.5" thickBot="1" x14ac:dyDescent="0.25">
      <c r="A15" s="28" t="s">
        <v>128</v>
      </c>
      <c r="B15" s="30">
        <v>1</v>
      </c>
      <c r="C15" s="30">
        <v>1</v>
      </c>
      <c r="D15" s="30">
        <v>1</v>
      </c>
      <c r="E15" s="29">
        <f>(E9/E6)^(1/2.5)</f>
        <v>1</v>
      </c>
      <c r="F15" s="30">
        <v>1</v>
      </c>
      <c r="G15" s="30">
        <v>1</v>
      </c>
      <c r="H15" s="29">
        <f>($J$6/J9)^(1/6)</f>
        <v>0.96349248399899612</v>
      </c>
      <c r="I15" s="29">
        <f>((H9/I9)/(H6/I6))^(1/8)</f>
        <v>1.0282855942978897</v>
      </c>
      <c r="J15" s="29">
        <f>IF(K9&gt;K6, (1+(K9-K6)/(4*K9)),1/(1+(K6-K9)/(4*K6)))</f>
        <v>0.90909090909090906</v>
      </c>
      <c r="K15" s="30">
        <v>1</v>
      </c>
      <c r="L15" s="30">
        <v>1</v>
      </c>
      <c r="M15" s="29">
        <f t="shared" si="1"/>
        <v>0.9006776741004161</v>
      </c>
      <c r="N15" s="31">
        <f>ROUND(M15*N14/M14,-6)</f>
        <v>350000000</v>
      </c>
      <c r="O15" s="69" t="str">
        <f>IF(AND(N15&lt;=(N$20+2*N$21),N15&gt;=(N$20-2*N$21)),"OK","Outlier")</f>
        <v>OK</v>
      </c>
    </row>
    <row r="16" spans="1:15" ht="21.75" x14ac:dyDescent="0.2">
      <c r="A16" s="32" t="s">
        <v>9</v>
      </c>
      <c r="B16" s="34">
        <v>1</v>
      </c>
      <c r="C16" s="34">
        <v>0.9</v>
      </c>
      <c r="D16" s="34">
        <v>1</v>
      </c>
      <c r="E16" s="33">
        <v>1</v>
      </c>
      <c r="F16" s="34">
        <v>1.05</v>
      </c>
      <c r="G16" s="34">
        <v>1</v>
      </c>
      <c r="H16" s="33">
        <v>1</v>
      </c>
      <c r="I16" s="33">
        <v>1</v>
      </c>
      <c r="J16" s="33">
        <v>1</v>
      </c>
      <c r="K16" s="34">
        <v>1</v>
      </c>
      <c r="L16" s="34">
        <v>1</v>
      </c>
      <c r="M16" s="33">
        <f t="shared" si="1"/>
        <v>0.94500000000000006</v>
      </c>
      <c r="N16" s="35">
        <f>N7</f>
        <v>300000000</v>
      </c>
      <c r="O16" s="69"/>
    </row>
    <row r="17" spans="1:16" ht="22.5" thickBot="1" x14ac:dyDescent="0.25">
      <c r="A17" s="36" t="s">
        <v>129</v>
      </c>
      <c r="B17" s="38">
        <v>1</v>
      </c>
      <c r="C17" s="38">
        <v>1</v>
      </c>
      <c r="D17" s="38">
        <v>1</v>
      </c>
      <c r="E17" s="37">
        <f>(E9/E7)^(1/2.5)</f>
        <v>1.1219551454461996</v>
      </c>
      <c r="F17" s="38">
        <v>1</v>
      </c>
      <c r="G17" s="38">
        <v>1</v>
      </c>
      <c r="H17" s="37">
        <f>($J$7/J9)^(1/6)</f>
        <v>0.88485791414993442</v>
      </c>
      <c r="I17" s="37">
        <f>((H9/I9)/(H7/I7))^(1/8)</f>
        <v>1.0366146496280775</v>
      </c>
      <c r="J17" s="37">
        <f>IF(K9&gt;K7, (1+(K9-K7)/(4*K9)),1/(1+(K7-K9)/(4*K7)))</f>
        <v>1.0416666666666667</v>
      </c>
      <c r="K17" s="38">
        <v>1</v>
      </c>
      <c r="L17" s="38">
        <v>1</v>
      </c>
      <c r="M17" s="37">
        <f t="shared" si="1"/>
        <v>1.0720008833949672</v>
      </c>
      <c r="N17" s="39">
        <f>ROUND(M17*N16/M16,-6)</f>
        <v>340000000</v>
      </c>
      <c r="O17" s="69" t="str">
        <f t="shared" ref="O17:O19" si="2">IF(AND(N17&lt;=(N$20+2*N$21),N17&gt;=(N$20-2*N$21)),"OK","Outlier")</f>
        <v>OK</v>
      </c>
    </row>
    <row r="18" spans="1:16" ht="21.75" x14ac:dyDescent="0.2">
      <c r="A18" s="40" t="s">
        <v>10</v>
      </c>
      <c r="B18" s="42">
        <v>1</v>
      </c>
      <c r="C18" s="42">
        <v>1</v>
      </c>
      <c r="D18" s="42">
        <v>1</v>
      </c>
      <c r="E18" s="41">
        <v>1</v>
      </c>
      <c r="F18" s="42">
        <v>1</v>
      </c>
      <c r="G18" s="42">
        <v>1</v>
      </c>
      <c r="H18" s="41">
        <v>1</v>
      </c>
      <c r="I18" s="41">
        <v>1</v>
      </c>
      <c r="J18" s="41">
        <v>1</v>
      </c>
      <c r="K18" s="42">
        <v>1</v>
      </c>
      <c r="L18" s="42">
        <v>1</v>
      </c>
      <c r="M18" s="41">
        <f t="shared" si="1"/>
        <v>1</v>
      </c>
      <c r="N18" s="43">
        <f>N8</f>
        <v>380000000</v>
      </c>
      <c r="O18" s="69"/>
    </row>
    <row r="19" spans="1:16" ht="22.5" thickBot="1" x14ac:dyDescent="0.25">
      <c r="A19" s="44" t="s">
        <v>130</v>
      </c>
      <c r="B19" s="46">
        <v>1</v>
      </c>
      <c r="C19" s="46">
        <v>1</v>
      </c>
      <c r="D19" s="46">
        <v>1</v>
      </c>
      <c r="E19" s="45">
        <f>(E9/E8)^(1/2.5)</f>
        <v>0.89130122898300168</v>
      </c>
      <c r="F19" s="46">
        <v>1</v>
      </c>
      <c r="G19" s="46">
        <v>1</v>
      </c>
      <c r="H19" s="45">
        <f>($J$8/J9)^(1/6)</f>
        <v>1.0308533208864445</v>
      </c>
      <c r="I19" s="45">
        <f>((H9/I9)/(H8/I8))^(1/8)</f>
        <v>0.97746754023055249</v>
      </c>
      <c r="J19" s="45">
        <f>IF(K9&gt;K8, (1+(K9-K8)/(4*K9)),1/(1+(K8-K9)/(4*K8)))</f>
        <v>1</v>
      </c>
      <c r="K19" s="107">
        <v>1</v>
      </c>
      <c r="L19" s="107">
        <v>1</v>
      </c>
      <c r="M19" s="108">
        <f t="shared" si="1"/>
        <v>0.89809798902846383</v>
      </c>
      <c r="N19" s="109">
        <f>ROUND(M19*N18/M18,-6)</f>
        <v>341000000</v>
      </c>
      <c r="O19" s="69" t="str">
        <f t="shared" si="2"/>
        <v>OK</v>
      </c>
    </row>
    <row r="20" spans="1:16" ht="24" x14ac:dyDescent="0.55000000000000004">
      <c r="A20" s="10"/>
      <c r="B20" s="5"/>
      <c r="C20" s="5"/>
      <c r="D20" s="7"/>
      <c r="E20" s="5"/>
      <c r="F20" s="11"/>
      <c r="G20" s="11"/>
      <c r="H20" s="5"/>
      <c r="I20" s="11"/>
      <c r="J20" s="11"/>
      <c r="K20" s="293" t="s">
        <v>131</v>
      </c>
      <c r="L20" s="293"/>
      <c r="M20" s="293"/>
      <c r="N20" s="105">
        <f>ROUND(AVERAGE(N15,N17,N19),-6)</f>
        <v>344000000</v>
      </c>
      <c r="O20" s="294" t="s">
        <v>139</v>
      </c>
      <c r="P20" s="295"/>
    </row>
    <row r="21" spans="1:16" ht="24" x14ac:dyDescent="0.2">
      <c r="A21" s="10"/>
      <c r="B21" s="5"/>
      <c r="C21" s="5"/>
      <c r="D21" s="7"/>
      <c r="E21" s="5"/>
      <c r="F21" s="11"/>
      <c r="G21" s="11"/>
      <c r="H21" s="5"/>
      <c r="I21" s="11"/>
      <c r="J21" s="11"/>
      <c r="K21" s="293" t="s">
        <v>132</v>
      </c>
      <c r="L21" s="293"/>
      <c r="M21" s="293"/>
      <c r="N21" s="105">
        <f>ROUND(_xlfn.STDEV.S(N15,N17,N19),-3)</f>
        <v>5508000</v>
      </c>
    </row>
    <row r="22" spans="1:16" ht="24" x14ac:dyDescent="0.2">
      <c r="A22" s="279" t="s">
        <v>133</v>
      </c>
      <c r="B22" s="279"/>
      <c r="C22" s="7"/>
      <c r="D22" s="7"/>
      <c r="E22" s="7"/>
      <c r="F22" s="111"/>
      <c r="G22" s="111"/>
      <c r="H22" s="7"/>
      <c r="I22" s="111"/>
      <c r="J22" s="111"/>
      <c r="K22" s="52"/>
      <c r="L22" s="52"/>
      <c r="M22" s="52"/>
      <c r="N22" s="106"/>
    </row>
    <row r="23" spans="1:16" ht="43.5" customHeight="1" thickBot="1" x14ac:dyDescent="0.25">
      <c r="A23" s="22" t="s">
        <v>4</v>
      </c>
      <c r="B23" s="22" t="s">
        <v>82</v>
      </c>
      <c r="C23" s="22" t="s">
        <v>84</v>
      </c>
      <c r="D23" s="22" t="s">
        <v>20</v>
      </c>
      <c r="E23" s="22" t="s">
        <v>34</v>
      </c>
      <c r="F23" s="22" t="s">
        <v>100</v>
      </c>
      <c r="G23" s="22" t="s">
        <v>69</v>
      </c>
      <c r="H23" s="22" t="s">
        <v>0</v>
      </c>
      <c r="I23" s="22" t="s">
        <v>68</v>
      </c>
      <c r="J23" s="22" t="s">
        <v>101</v>
      </c>
      <c r="K23" s="22" t="s">
        <v>1</v>
      </c>
      <c r="L23" s="23" t="s">
        <v>102</v>
      </c>
      <c r="M23" s="23" t="s">
        <v>2</v>
      </c>
      <c r="N23" s="57" t="s">
        <v>109</v>
      </c>
    </row>
    <row r="24" spans="1:16" ht="21.75" x14ac:dyDescent="0.2">
      <c r="A24" s="112" t="s">
        <v>134</v>
      </c>
      <c r="B24" s="113">
        <v>1</v>
      </c>
      <c r="C24" s="113">
        <v>1</v>
      </c>
      <c r="D24" s="113">
        <v>1</v>
      </c>
      <c r="E24" s="113">
        <v>1</v>
      </c>
      <c r="F24" s="114">
        <v>1</v>
      </c>
      <c r="G24" s="114">
        <v>1</v>
      </c>
      <c r="H24" s="113">
        <v>1</v>
      </c>
      <c r="I24" s="113">
        <v>1</v>
      </c>
      <c r="J24" s="113">
        <v>1</v>
      </c>
      <c r="K24" s="114">
        <v>1</v>
      </c>
      <c r="L24" s="114">
        <v>1</v>
      </c>
      <c r="M24" s="113">
        <f t="shared" ref="M24" si="3">B24*C24*D24*E24*F24*G24*H24*I24*J24*K24*L24</f>
        <v>1</v>
      </c>
      <c r="N24" s="115">
        <f>N20</f>
        <v>344000000</v>
      </c>
    </row>
    <row r="25" spans="1:16" ht="22.5" thickBot="1" x14ac:dyDescent="0.25">
      <c r="A25" s="98" t="s">
        <v>138</v>
      </c>
      <c r="B25" s="116">
        <v>1</v>
      </c>
      <c r="C25" s="116">
        <v>1</v>
      </c>
      <c r="D25" s="116">
        <v>1</v>
      </c>
      <c r="E25" s="116">
        <f>(E10/E9)^(1/2.5)</f>
        <v>1.1494949565639363</v>
      </c>
      <c r="F25" s="120">
        <v>1.05</v>
      </c>
      <c r="G25" s="120">
        <v>1.05</v>
      </c>
      <c r="H25" s="116">
        <f>($J$9/J10)^(1/6)</f>
        <v>0.95969155183324228</v>
      </c>
      <c r="I25" s="116">
        <f>((H10/I10)/(H9/I9))^(1/8)</f>
        <v>0.96961372374342891</v>
      </c>
      <c r="J25" s="116">
        <f>IF(K10&gt;K9, (1+(K10-K9)/(4*K10)),1/(1+(K9-K10)/(4*K9)))</f>
        <v>1.0625</v>
      </c>
      <c r="K25" s="117">
        <v>1</v>
      </c>
      <c r="L25" s="117">
        <v>1</v>
      </c>
      <c r="M25" s="118">
        <f>B25*C25*D25*E25*F25*G25*H25*I25*J25*K25*L25</f>
        <v>1.2529825782653887</v>
      </c>
      <c r="N25" s="119">
        <f>ROUND(M25*N24/M24,-6)</f>
        <v>431000000</v>
      </c>
    </row>
    <row r="26" spans="1:16" ht="24" x14ac:dyDescent="0.2">
      <c r="A26" s="10"/>
      <c r="B26" s="5"/>
      <c r="C26" s="5"/>
      <c r="D26" s="7"/>
      <c r="E26" s="5"/>
      <c r="F26" s="11"/>
      <c r="G26" s="11"/>
      <c r="H26" s="5"/>
      <c r="I26" s="11"/>
      <c r="J26" s="11"/>
      <c r="K26" s="281" t="s">
        <v>135</v>
      </c>
      <c r="L26" s="281"/>
      <c r="M26" s="281"/>
      <c r="N26" s="66">
        <f>N25</f>
        <v>431000000</v>
      </c>
    </row>
    <row r="27" spans="1:16" ht="24" x14ac:dyDescent="0.4">
      <c r="A27" s="1"/>
      <c r="B27" s="1"/>
      <c r="C27" s="1"/>
      <c r="D27" s="1"/>
      <c r="E27" s="1"/>
      <c r="F27" s="1"/>
      <c r="G27" s="1"/>
      <c r="H27" s="1"/>
      <c r="I27" s="1"/>
      <c r="J27" s="1"/>
      <c r="K27" s="281" t="s">
        <v>110</v>
      </c>
      <c r="L27" s="281"/>
      <c r="M27" s="281"/>
      <c r="N27" s="66">
        <f>N26*J10</f>
        <v>137920000000</v>
      </c>
    </row>
    <row r="28" spans="1:16" ht="24" x14ac:dyDescent="0.55000000000000004">
      <c r="A28" s="285" t="s">
        <v>111</v>
      </c>
      <c r="B28" s="285"/>
      <c r="C28" s="285"/>
      <c r="D28" s="285"/>
      <c r="E28" s="285"/>
      <c r="F28" s="285"/>
      <c r="G28" s="285"/>
      <c r="H28" s="285"/>
      <c r="I28" s="285"/>
      <c r="J28" s="285"/>
      <c r="K28" s="286" t="s">
        <v>105</v>
      </c>
      <c r="L28" s="286"/>
      <c r="M28" s="286"/>
      <c r="N28" s="71">
        <v>0.9</v>
      </c>
    </row>
    <row r="29" spans="1:16" ht="24" x14ac:dyDescent="0.55000000000000004">
      <c r="K29" s="278" t="s">
        <v>106</v>
      </c>
      <c r="L29" s="278"/>
      <c r="M29" s="278"/>
      <c r="N29" s="72">
        <f>N27*N28</f>
        <v>124128000000</v>
      </c>
    </row>
  </sheetData>
  <customSheetViews>
    <customSheetView guid="{2AB27FB0-6750-413F-B436-DA6A7082F863}" fitToPage="1">
      <selection sqref="A1:N1"/>
      <pageMargins left="0.7" right="0.7" top="0.75" bottom="0.75" header="0.3" footer="0.3"/>
      <pageSetup paperSize="9" scale="59" orientation="landscape" r:id="rId1"/>
    </customSheetView>
  </customSheetViews>
  <mergeCells count="13">
    <mergeCell ref="O20:P20"/>
    <mergeCell ref="A28:J28"/>
    <mergeCell ref="K28:M28"/>
    <mergeCell ref="K29:M29"/>
    <mergeCell ref="A2:N2"/>
    <mergeCell ref="A22:B22"/>
    <mergeCell ref="K26:M26"/>
    <mergeCell ref="K27:M27"/>
    <mergeCell ref="A1:N1"/>
    <mergeCell ref="A4:N4"/>
    <mergeCell ref="A12:B12"/>
    <mergeCell ref="K20:M20"/>
    <mergeCell ref="K21:M21"/>
  </mergeCells>
  <conditionalFormatting sqref="O15:O19">
    <cfRule type="containsText" dxfId="3" priority="1" operator="containsText" text="OK">
      <formula>NOT(ISERROR(SEARCH("OK",O15)))</formula>
    </cfRule>
  </conditionalFormatting>
  <pageMargins left="0.7" right="0.7" top="0.75" bottom="0.75" header="0.3" footer="0.3"/>
  <pageSetup paperSize="9" scale="59" orientation="landscape" r:id="rId2"/>
  <ignoredErrors>
    <ignoredError sqref="N16 N18" formula="1"/>
  </ignoredError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BA634-3ADD-439A-9210-CF738869994E}">
  <dimension ref="B1:K54"/>
  <sheetViews>
    <sheetView rightToLeft="1" workbookViewId="0">
      <selection activeCell="I2" sqref="I2:K2"/>
    </sheetView>
  </sheetViews>
  <sheetFormatPr defaultRowHeight="14.25" x14ac:dyDescent="0.2"/>
  <cols>
    <col min="1" max="1" width="2.375" customWidth="1"/>
    <col min="10" max="11" width="16.375" customWidth="1"/>
  </cols>
  <sheetData>
    <row r="1" spans="2:11" ht="36" x14ac:dyDescent="0.95">
      <c r="B1" s="297" t="s">
        <v>220</v>
      </c>
      <c r="C1" s="297"/>
      <c r="D1" s="297"/>
      <c r="E1" s="297"/>
      <c r="F1" s="297"/>
      <c r="G1" s="297"/>
      <c r="H1" s="297"/>
      <c r="I1" s="297"/>
      <c r="J1" s="297"/>
      <c r="K1" s="297"/>
    </row>
    <row r="2" spans="2:11" ht="21" x14ac:dyDescent="0.55000000000000004">
      <c r="B2" s="298" t="s">
        <v>142</v>
      </c>
      <c r="C2" s="299"/>
      <c r="D2" s="299"/>
      <c r="E2" s="299"/>
      <c r="F2" s="300">
        <v>18240000000</v>
      </c>
      <c r="G2" s="300"/>
      <c r="H2" s="121" t="s">
        <v>143</v>
      </c>
      <c r="I2" s="301" t="s">
        <v>144</v>
      </c>
      <c r="J2" s="302"/>
      <c r="K2" s="302"/>
    </row>
    <row r="4" spans="2:11" ht="39" x14ac:dyDescent="0.2">
      <c r="B4" s="221" t="s">
        <v>145</v>
      </c>
      <c r="C4" s="221" t="s">
        <v>146</v>
      </c>
      <c r="D4" s="221" t="s">
        <v>147</v>
      </c>
      <c r="E4" s="221" t="s">
        <v>148</v>
      </c>
      <c r="F4" s="221" t="s">
        <v>149</v>
      </c>
      <c r="G4" s="221" t="s">
        <v>150</v>
      </c>
      <c r="H4" s="221" t="s">
        <v>100</v>
      </c>
      <c r="I4" s="221" t="s">
        <v>151</v>
      </c>
      <c r="J4" s="221" t="s">
        <v>152</v>
      </c>
      <c r="K4" s="221" t="s">
        <v>153</v>
      </c>
    </row>
    <row r="5" spans="2:11" ht="20.25" x14ac:dyDescent="0.2">
      <c r="B5" s="122" t="s">
        <v>154</v>
      </c>
      <c r="C5" s="123" t="s">
        <v>155</v>
      </c>
      <c r="D5" s="124">
        <v>1</v>
      </c>
      <c r="E5" s="124">
        <v>1</v>
      </c>
      <c r="F5" s="124">
        <v>1</v>
      </c>
      <c r="G5" s="124">
        <v>1</v>
      </c>
      <c r="H5" s="124">
        <v>1.05</v>
      </c>
      <c r="I5" s="125">
        <f>F5*G5*H5</f>
        <v>1.05</v>
      </c>
      <c r="J5" s="126">
        <f>I5/52.703*F$2</f>
        <v>363394873.15712583</v>
      </c>
      <c r="K5" s="126">
        <f>J5-J$8</f>
        <v>17304517.769387007</v>
      </c>
    </row>
    <row r="6" spans="2:11" ht="20.25" x14ac:dyDescent="0.2">
      <c r="B6" s="122" t="s">
        <v>156</v>
      </c>
      <c r="C6" s="123" t="s">
        <v>155</v>
      </c>
      <c r="D6" s="124">
        <v>1</v>
      </c>
      <c r="E6" s="124">
        <v>2</v>
      </c>
      <c r="F6" s="124">
        <v>1</v>
      </c>
      <c r="G6" s="124">
        <v>1</v>
      </c>
      <c r="H6" s="124">
        <v>1.08</v>
      </c>
      <c r="I6" s="125">
        <f t="shared" ref="I6:I52" si="0">F6*G6*H6</f>
        <v>1.08</v>
      </c>
      <c r="J6" s="126">
        <f t="shared" ref="J6:J52" si="1">I6/52.703*F$2</f>
        <v>373777583.81875795</v>
      </c>
      <c r="K6" s="126">
        <f t="shared" ref="K6:K52" si="2">J6-J$8</f>
        <v>27687228.431019127</v>
      </c>
    </row>
    <row r="7" spans="2:11" ht="20.25" x14ac:dyDescent="0.2">
      <c r="B7" s="122" t="s">
        <v>157</v>
      </c>
      <c r="C7" s="123" t="s">
        <v>155</v>
      </c>
      <c r="D7" s="124">
        <v>1</v>
      </c>
      <c r="E7" s="124">
        <v>3</v>
      </c>
      <c r="F7" s="124">
        <v>1</v>
      </c>
      <c r="G7" s="124">
        <v>1</v>
      </c>
      <c r="H7" s="124">
        <v>1.03</v>
      </c>
      <c r="I7" s="125">
        <f t="shared" si="0"/>
        <v>1.03</v>
      </c>
      <c r="J7" s="126">
        <f t="shared" si="1"/>
        <v>356473066.049371</v>
      </c>
      <c r="K7" s="126">
        <f t="shared" si="2"/>
        <v>10382710.66163218</v>
      </c>
    </row>
    <row r="8" spans="2:11" ht="20.25" x14ac:dyDescent="0.2">
      <c r="B8" s="122" t="s">
        <v>158</v>
      </c>
      <c r="C8" s="123" t="s">
        <v>155</v>
      </c>
      <c r="D8" s="124">
        <v>1</v>
      </c>
      <c r="E8" s="124">
        <v>4</v>
      </c>
      <c r="F8" s="124">
        <v>1</v>
      </c>
      <c r="G8" s="124">
        <v>1</v>
      </c>
      <c r="H8" s="124">
        <v>1</v>
      </c>
      <c r="I8" s="125">
        <f t="shared" si="0"/>
        <v>1</v>
      </c>
      <c r="J8" s="126">
        <f t="shared" si="1"/>
        <v>346090355.38773882</v>
      </c>
      <c r="K8" s="126">
        <f t="shared" si="2"/>
        <v>0</v>
      </c>
    </row>
    <row r="9" spans="2:11" ht="20.25" x14ac:dyDescent="0.2">
      <c r="B9" s="122" t="s">
        <v>159</v>
      </c>
      <c r="C9" s="123" t="s">
        <v>155</v>
      </c>
      <c r="D9" s="124">
        <v>2</v>
      </c>
      <c r="E9" s="124">
        <v>1</v>
      </c>
      <c r="F9" s="124">
        <v>1</v>
      </c>
      <c r="G9" s="124">
        <v>1.03</v>
      </c>
      <c r="H9" s="124">
        <v>1.05</v>
      </c>
      <c r="I9" s="125">
        <f t="shared" si="0"/>
        <v>1.0815000000000001</v>
      </c>
      <c r="J9" s="126">
        <f t="shared" si="1"/>
        <v>374296719.35183954</v>
      </c>
      <c r="K9" s="126">
        <f t="shared" si="2"/>
        <v>28206363.964100718</v>
      </c>
    </row>
    <row r="10" spans="2:11" ht="20.25" x14ac:dyDescent="0.2">
      <c r="B10" s="122" t="s">
        <v>160</v>
      </c>
      <c r="C10" s="123" t="s">
        <v>155</v>
      </c>
      <c r="D10" s="124">
        <v>2</v>
      </c>
      <c r="E10" s="124">
        <v>2</v>
      </c>
      <c r="F10" s="124">
        <v>1</v>
      </c>
      <c r="G10" s="124">
        <v>1.03</v>
      </c>
      <c r="H10" s="124">
        <v>1.08</v>
      </c>
      <c r="I10" s="125">
        <f t="shared" si="0"/>
        <v>1.1124000000000001</v>
      </c>
      <c r="J10" s="126">
        <f t="shared" si="1"/>
        <v>384990911.33332068</v>
      </c>
      <c r="K10" s="126">
        <f t="shared" si="2"/>
        <v>38900555.945581853</v>
      </c>
    </row>
    <row r="11" spans="2:11" ht="20.25" x14ac:dyDescent="0.2">
      <c r="B11" s="122" t="s">
        <v>161</v>
      </c>
      <c r="C11" s="123" t="s">
        <v>155</v>
      </c>
      <c r="D11" s="124">
        <v>2</v>
      </c>
      <c r="E11" s="124">
        <v>3</v>
      </c>
      <c r="F11" s="124">
        <v>1</v>
      </c>
      <c r="G11" s="124">
        <v>1.03</v>
      </c>
      <c r="H11" s="124">
        <v>1.03</v>
      </c>
      <c r="I11" s="125">
        <f t="shared" si="0"/>
        <v>1.0609</v>
      </c>
      <c r="J11" s="126">
        <f t="shared" si="1"/>
        <v>367167258.03085208</v>
      </c>
      <c r="K11" s="126">
        <f t="shared" si="2"/>
        <v>21076902.643113256</v>
      </c>
    </row>
    <row r="12" spans="2:11" ht="20.25" x14ac:dyDescent="0.2">
      <c r="B12" s="122" t="s">
        <v>162</v>
      </c>
      <c r="C12" s="123" t="s">
        <v>155</v>
      </c>
      <c r="D12" s="124">
        <v>2</v>
      </c>
      <c r="E12" s="124">
        <v>4</v>
      </c>
      <c r="F12" s="124">
        <v>1</v>
      </c>
      <c r="G12" s="124">
        <v>1.03</v>
      </c>
      <c r="H12" s="124">
        <v>1</v>
      </c>
      <c r="I12" s="125">
        <f t="shared" si="0"/>
        <v>1.03</v>
      </c>
      <c r="J12" s="126">
        <f t="shared" si="1"/>
        <v>356473066.049371</v>
      </c>
      <c r="K12" s="126">
        <f t="shared" si="2"/>
        <v>10382710.66163218</v>
      </c>
    </row>
    <row r="13" spans="2:11" ht="20.25" x14ac:dyDescent="0.2">
      <c r="B13" s="122" t="s">
        <v>163</v>
      </c>
      <c r="C13" s="123" t="s">
        <v>155</v>
      </c>
      <c r="D13" s="124">
        <v>3</v>
      </c>
      <c r="E13" s="124">
        <v>1</v>
      </c>
      <c r="F13" s="124">
        <v>1</v>
      </c>
      <c r="G13" s="124">
        <v>1.06</v>
      </c>
      <c r="H13" s="124">
        <v>1.05</v>
      </c>
      <c r="I13" s="125">
        <f t="shared" si="0"/>
        <v>1.1130000000000002</v>
      </c>
      <c r="J13" s="126">
        <f t="shared" si="1"/>
        <v>385198565.54655337</v>
      </c>
      <c r="K13" s="126">
        <f t="shared" si="2"/>
        <v>39108210.158814549</v>
      </c>
    </row>
    <row r="14" spans="2:11" ht="20.25" x14ac:dyDescent="0.2">
      <c r="B14" s="122" t="s">
        <v>164</v>
      </c>
      <c r="C14" s="123" t="s">
        <v>155</v>
      </c>
      <c r="D14" s="124">
        <v>3</v>
      </c>
      <c r="E14" s="124">
        <v>2</v>
      </c>
      <c r="F14" s="124">
        <v>1</v>
      </c>
      <c r="G14" s="124">
        <v>1.06</v>
      </c>
      <c r="H14" s="124">
        <v>1.08</v>
      </c>
      <c r="I14" s="125">
        <f t="shared" si="0"/>
        <v>1.1448</v>
      </c>
      <c r="J14" s="126">
        <f t="shared" si="1"/>
        <v>396204238.8478834</v>
      </c>
      <c r="K14" s="126">
        <f t="shared" si="2"/>
        <v>50113883.460144579</v>
      </c>
    </row>
    <row r="15" spans="2:11" ht="20.25" x14ac:dyDescent="0.2">
      <c r="B15" s="122" t="s">
        <v>165</v>
      </c>
      <c r="C15" s="123" t="s">
        <v>155</v>
      </c>
      <c r="D15" s="124">
        <v>3</v>
      </c>
      <c r="E15" s="124">
        <v>3</v>
      </c>
      <c r="F15" s="124">
        <v>1</v>
      </c>
      <c r="G15" s="124">
        <v>1.06</v>
      </c>
      <c r="H15" s="124">
        <v>1.03</v>
      </c>
      <c r="I15" s="125">
        <f t="shared" si="0"/>
        <v>1.0918000000000001</v>
      </c>
      <c r="J15" s="126">
        <f t="shared" si="1"/>
        <v>377861450.01233327</v>
      </c>
      <c r="K15" s="126">
        <f t="shared" si="2"/>
        <v>31771094.62459445</v>
      </c>
    </row>
    <row r="16" spans="2:11" ht="20.25" x14ac:dyDescent="0.2">
      <c r="B16" s="122" t="s">
        <v>166</v>
      </c>
      <c r="C16" s="123" t="s">
        <v>155</v>
      </c>
      <c r="D16" s="124">
        <v>3</v>
      </c>
      <c r="E16" s="124">
        <v>4</v>
      </c>
      <c r="F16" s="124">
        <v>1</v>
      </c>
      <c r="G16" s="124">
        <v>1.06</v>
      </c>
      <c r="H16" s="124">
        <v>1</v>
      </c>
      <c r="I16" s="125">
        <f t="shared" si="0"/>
        <v>1.06</v>
      </c>
      <c r="J16" s="126">
        <f t="shared" si="1"/>
        <v>366855776.71100318</v>
      </c>
      <c r="K16" s="126">
        <f t="shared" si="2"/>
        <v>20765421.32326436</v>
      </c>
    </row>
    <row r="17" spans="2:11" ht="20.25" x14ac:dyDescent="0.2">
      <c r="B17" s="122" t="s">
        <v>167</v>
      </c>
      <c r="C17" s="123" t="s">
        <v>168</v>
      </c>
      <c r="D17" s="124">
        <v>1</v>
      </c>
      <c r="E17" s="124">
        <v>1</v>
      </c>
      <c r="F17" s="124">
        <v>1</v>
      </c>
      <c r="G17" s="124">
        <v>1</v>
      </c>
      <c r="H17" s="124">
        <v>1.05</v>
      </c>
      <c r="I17" s="125">
        <f t="shared" si="0"/>
        <v>1.05</v>
      </c>
      <c r="J17" s="126">
        <f t="shared" si="1"/>
        <v>363394873.15712583</v>
      </c>
      <c r="K17" s="126">
        <f t="shared" si="2"/>
        <v>17304517.769387007</v>
      </c>
    </row>
    <row r="18" spans="2:11" ht="20.25" x14ac:dyDescent="0.2">
      <c r="B18" s="122" t="s">
        <v>169</v>
      </c>
      <c r="C18" s="123" t="s">
        <v>168</v>
      </c>
      <c r="D18" s="124">
        <v>1</v>
      </c>
      <c r="E18" s="124">
        <v>2</v>
      </c>
      <c r="F18" s="124">
        <v>1</v>
      </c>
      <c r="G18" s="124">
        <v>1</v>
      </c>
      <c r="H18" s="124">
        <v>1.08</v>
      </c>
      <c r="I18" s="125">
        <f t="shared" si="0"/>
        <v>1.08</v>
      </c>
      <c r="J18" s="126">
        <f t="shared" si="1"/>
        <v>373777583.81875795</v>
      </c>
      <c r="K18" s="126">
        <f t="shared" si="2"/>
        <v>27687228.431019127</v>
      </c>
    </row>
    <row r="19" spans="2:11" ht="20.25" x14ac:dyDescent="0.2">
      <c r="B19" s="122" t="s">
        <v>170</v>
      </c>
      <c r="C19" s="123" t="s">
        <v>168</v>
      </c>
      <c r="D19" s="124">
        <v>1</v>
      </c>
      <c r="E19" s="124">
        <v>3</v>
      </c>
      <c r="F19" s="124">
        <v>1</v>
      </c>
      <c r="G19" s="124">
        <v>1</v>
      </c>
      <c r="H19" s="124">
        <v>1.03</v>
      </c>
      <c r="I19" s="125">
        <f t="shared" si="0"/>
        <v>1.03</v>
      </c>
      <c r="J19" s="126">
        <f t="shared" si="1"/>
        <v>356473066.049371</v>
      </c>
      <c r="K19" s="126">
        <f t="shared" si="2"/>
        <v>10382710.66163218</v>
      </c>
    </row>
    <row r="20" spans="2:11" ht="20.25" x14ac:dyDescent="0.2">
      <c r="B20" s="122" t="s">
        <v>171</v>
      </c>
      <c r="C20" s="123" t="s">
        <v>168</v>
      </c>
      <c r="D20" s="124">
        <v>1</v>
      </c>
      <c r="E20" s="124">
        <v>4</v>
      </c>
      <c r="F20" s="124">
        <v>1</v>
      </c>
      <c r="G20" s="124">
        <v>1</v>
      </c>
      <c r="H20" s="124">
        <v>1</v>
      </c>
      <c r="I20" s="125">
        <f t="shared" si="0"/>
        <v>1</v>
      </c>
      <c r="J20" s="126">
        <f t="shared" si="1"/>
        <v>346090355.38773882</v>
      </c>
      <c r="K20" s="126">
        <f t="shared" si="2"/>
        <v>0</v>
      </c>
    </row>
    <row r="21" spans="2:11" ht="20.25" x14ac:dyDescent="0.2">
      <c r="B21" s="122" t="s">
        <v>172</v>
      </c>
      <c r="C21" s="123" t="s">
        <v>168</v>
      </c>
      <c r="D21" s="124">
        <v>2</v>
      </c>
      <c r="E21" s="124">
        <v>1</v>
      </c>
      <c r="F21" s="124">
        <v>1</v>
      </c>
      <c r="G21" s="124">
        <v>1.03</v>
      </c>
      <c r="H21" s="124">
        <v>1.05</v>
      </c>
      <c r="I21" s="125">
        <f t="shared" si="0"/>
        <v>1.0815000000000001</v>
      </c>
      <c r="J21" s="126">
        <f t="shared" si="1"/>
        <v>374296719.35183954</v>
      </c>
      <c r="K21" s="126">
        <f t="shared" si="2"/>
        <v>28206363.964100718</v>
      </c>
    </row>
    <row r="22" spans="2:11" ht="20.25" x14ac:dyDescent="0.2">
      <c r="B22" s="122" t="s">
        <v>173</v>
      </c>
      <c r="C22" s="123" t="s">
        <v>168</v>
      </c>
      <c r="D22" s="124">
        <v>2</v>
      </c>
      <c r="E22" s="124">
        <v>2</v>
      </c>
      <c r="F22" s="124">
        <v>1</v>
      </c>
      <c r="G22" s="124">
        <v>1.03</v>
      </c>
      <c r="H22" s="124">
        <v>1.08</v>
      </c>
      <c r="I22" s="125">
        <f t="shared" si="0"/>
        <v>1.1124000000000001</v>
      </c>
      <c r="J22" s="126">
        <f t="shared" si="1"/>
        <v>384990911.33332068</v>
      </c>
      <c r="K22" s="126">
        <f t="shared" si="2"/>
        <v>38900555.945581853</v>
      </c>
    </row>
    <row r="23" spans="2:11" ht="20.25" x14ac:dyDescent="0.2">
      <c r="B23" s="122" t="s">
        <v>174</v>
      </c>
      <c r="C23" s="123" t="s">
        <v>168</v>
      </c>
      <c r="D23" s="124">
        <v>2</v>
      </c>
      <c r="E23" s="124">
        <v>3</v>
      </c>
      <c r="F23" s="124">
        <v>1</v>
      </c>
      <c r="G23" s="124">
        <v>1.03</v>
      </c>
      <c r="H23" s="124">
        <v>1.03</v>
      </c>
      <c r="I23" s="125">
        <f t="shared" si="0"/>
        <v>1.0609</v>
      </c>
      <c r="J23" s="126">
        <f t="shared" si="1"/>
        <v>367167258.03085208</v>
      </c>
      <c r="K23" s="126">
        <f t="shared" si="2"/>
        <v>21076902.643113256</v>
      </c>
    </row>
    <row r="24" spans="2:11" ht="20.25" x14ac:dyDescent="0.2">
      <c r="B24" s="122" t="s">
        <v>175</v>
      </c>
      <c r="C24" s="123" t="s">
        <v>168</v>
      </c>
      <c r="D24" s="124">
        <v>2</v>
      </c>
      <c r="E24" s="124">
        <v>4</v>
      </c>
      <c r="F24" s="124">
        <v>1</v>
      </c>
      <c r="G24" s="124">
        <v>1.03</v>
      </c>
      <c r="H24" s="124">
        <v>1</v>
      </c>
      <c r="I24" s="125">
        <f t="shared" si="0"/>
        <v>1.03</v>
      </c>
      <c r="J24" s="126">
        <f t="shared" si="1"/>
        <v>356473066.049371</v>
      </c>
      <c r="K24" s="126">
        <f t="shared" si="2"/>
        <v>10382710.66163218</v>
      </c>
    </row>
    <row r="25" spans="2:11" ht="20.25" x14ac:dyDescent="0.2">
      <c r="B25" s="122" t="s">
        <v>176</v>
      </c>
      <c r="C25" s="123" t="s">
        <v>168</v>
      </c>
      <c r="D25" s="124">
        <v>3</v>
      </c>
      <c r="E25" s="124">
        <v>1</v>
      </c>
      <c r="F25" s="124">
        <v>1</v>
      </c>
      <c r="G25" s="124">
        <v>1.06</v>
      </c>
      <c r="H25" s="124">
        <v>1.05</v>
      </c>
      <c r="I25" s="125">
        <f t="shared" si="0"/>
        <v>1.1130000000000002</v>
      </c>
      <c r="J25" s="126">
        <f t="shared" si="1"/>
        <v>385198565.54655337</v>
      </c>
      <c r="K25" s="126">
        <f t="shared" si="2"/>
        <v>39108210.158814549</v>
      </c>
    </row>
    <row r="26" spans="2:11" ht="20.25" x14ac:dyDescent="0.2">
      <c r="B26" s="122" t="s">
        <v>177</v>
      </c>
      <c r="C26" s="123" t="s">
        <v>168</v>
      </c>
      <c r="D26" s="124">
        <v>3</v>
      </c>
      <c r="E26" s="124">
        <v>2</v>
      </c>
      <c r="F26" s="124">
        <v>1</v>
      </c>
      <c r="G26" s="124">
        <v>1.06</v>
      </c>
      <c r="H26" s="124">
        <v>1.08</v>
      </c>
      <c r="I26" s="125">
        <f t="shared" si="0"/>
        <v>1.1448</v>
      </c>
      <c r="J26" s="126">
        <f t="shared" si="1"/>
        <v>396204238.8478834</v>
      </c>
      <c r="K26" s="126">
        <f t="shared" si="2"/>
        <v>50113883.460144579</v>
      </c>
    </row>
    <row r="27" spans="2:11" ht="20.25" x14ac:dyDescent="0.2">
      <c r="B27" s="122" t="s">
        <v>178</v>
      </c>
      <c r="C27" s="123" t="s">
        <v>168</v>
      </c>
      <c r="D27" s="124">
        <v>3</v>
      </c>
      <c r="E27" s="124">
        <v>3</v>
      </c>
      <c r="F27" s="124">
        <v>1</v>
      </c>
      <c r="G27" s="124">
        <v>1.06</v>
      </c>
      <c r="H27" s="124">
        <v>1.03</v>
      </c>
      <c r="I27" s="125">
        <f t="shared" si="0"/>
        <v>1.0918000000000001</v>
      </c>
      <c r="J27" s="126">
        <f t="shared" si="1"/>
        <v>377861450.01233327</v>
      </c>
      <c r="K27" s="126">
        <f t="shared" si="2"/>
        <v>31771094.62459445</v>
      </c>
    </row>
    <row r="28" spans="2:11" ht="20.25" x14ac:dyDescent="0.2">
      <c r="B28" s="122" t="s">
        <v>179</v>
      </c>
      <c r="C28" s="123" t="s">
        <v>168</v>
      </c>
      <c r="D28" s="124">
        <v>3</v>
      </c>
      <c r="E28" s="124">
        <v>4</v>
      </c>
      <c r="F28" s="124">
        <v>1</v>
      </c>
      <c r="G28" s="124">
        <v>1.06</v>
      </c>
      <c r="H28" s="124">
        <v>1</v>
      </c>
      <c r="I28" s="125">
        <f t="shared" si="0"/>
        <v>1.06</v>
      </c>
      <c r="J28" s="126">
        <f t="shared" si="1"/>
        <v>366855776.71100318</v>
      </c>
      <c r="K28" s="126">
        <f t="shared" si="2"/>
        <v>20765421.32326436</v>
      </c>
    </row>
    <row r="29" spans="2:11" ht="20.25" x14ac:dyDescent="0.2">
      <c r="B29" s="122" t="s">
        <v>180</v>
      </c>
      <c r="C29" s="123" t="s">
        <v>181</v>
      </c>
      <c r="D29" s="124">
        <v>1</v>
      </c>
      <c r="E29" s="124">
        <v>1</v>
      </c>
      <c r="F29" s="124">
        <v>1.05</v>
      </c>
      <c r="G29" s="124">
        <v>1</v>
      </c>
      <c r="H29" s="124">
        <v>1.05</v>
      </c>
      <c r="I29" s="125">
        <f t="shared" si="0"/>
        <v>1.1025</v>
      </c>
      <c r="J29" s="126">
        <f t="shared" si="1"/>
        <v>381564616.81498206</v>
      </c>
      <c r="K29" s="126">
        <f t="shared" si="2"/>
        <v>35474261.427243233</v>
      </c>
    </row>
    <row r="30" spans="2:11" ht="20.25" x14ac:dyDescent="0.2">
      <c r="B30" s="122" t="s">
        <v>182</v>
      </c>
      <c r="C30" s="123" t="s">
        <v>181</v>
      </c>
      <c r="D30" s="124">
        <v>1</v>
      </c>
      <c r="E30" s="124">
        <v>2</v>
      </c>
      <c r="F30" s="124">
        <v>1.05</v>
      </c>
      <c r="G30" s="124">
        <v>1</v>
      </c>
      <c r="H30" s="124">
        <v>1.08</v>
      </c>
      <c r="I30" s="125">
        <f t="shared" si="0"/>
        <v>1.1340000000000001</v>
      </c>
      <c r="J30" s="126">
        <f t="shared" si="1"/>
        <v>392466463.00969589</v>
      </c>
      <c r="K30" s="126">
        <f t="shared" si="2"/>
        <v>46376107.621957064</v>
      </c>
    </row>
    <row r="31" spans="2:11" ht="20.25" x14ac:dyDescent="0.2">
      <c r="B31" s="122" t="s">
        <v>183</v>
      </c>
      <c r="C31" s="123" t="s">
        <v>181</v>
      </c>
      <c r="D31" s="124">
        <v>1</v>
      </c>
      <c r="E31" s="124">
        <v>3</v>
      </c>
      <c r="F31" s="124">
        <v>1.05</v>
      </c>
      <c r="G31" s="124">
        <v>1</v>
      </c>
      <c r="H31" s="124">
        <v>1.03</v>
      </c>
      <c r="I31" s="125">
        <f t="shared" si="0"/>
        <v>1.0815000000000001</v>
      </c>
      <c r="J31" s="126">
        <f t="shared" si="1"/>
        <v>374296719.35183954</v>
      </c>
      <c r="K31" s="126">
        <f t="shared" si="2"/>
        <v>28206363.964100718</v>
      </c>
    </row>
    <row r="32" spans="2:11" ht="20.25" x14ac:dyDescent="0.2">
      <c r="B32" s="122" t="s">
        <v>184</v>
      </c>
      <c r="C32" s="123" t="s">
        <v>181</v>
      </c>
      <c r="D32" s="124">
        <v>1</v>
      </c>
      <c r="E32" s="124">
        <v>4</v>
      </c>
      <c r="F32" s="124">
        <v>1.05</v>
      </c>
      <c r="G32" s="124">
        <v>1</v>
      </c>
      <c r="H32" s="124">
        <v>1</v>
      </c>
      <c r="I32" s="125">
        <f t="shared" si="0"/>
        <v>1.05</v>
      </c>
      <c r="J32" s="126">
        <f t="shared" si="1"/>
        <v>363394873.15712583</v>
      </c>
      <c r="K32" s="126">
        <f t="shared" si="2"/>
        <v>17304517.769387007</v>
      </c>
    </row>
    <row r="33" spans="2:11" ht="20.25" x14ac:dyDescent="0.2">
      <c r="B33" s="122" t="s">
        <v>185</v>
      </c>
      <c r="C33" s="123" t="s">
        <v>181</v>
      </c>
      <c r="D33" s="124">
        <v>2</v>
      </c>
      <c r="E33" s="124">
        <v>1</v>
      </c>
      <c r="F33" s="124">
        <v>1.05</v>
      </c>
      <c r="G33" s="124">
        <v>1.03</v>
      </c>
      <c r="H33" s="124">
        <v>1.05</v>
      </c>
      <c r="I33" s="125">
        <f t="shared" si="0"/>
        <v>1.1355750000000002</v>
      </c>
      <c r="J33" s="126">
        <f t="shared" si="1"/>
        <v>393011555.3194316</v>
      </c>
      <c r="K33" s="126">
        <f t="shared" si="2"/>
        <v>46921199.931692779</v>
      </c>
    </row>
    <row r="34" spans="2:11" ht="20.25" x14ac:dyDescent="0.2">
      <c r="B34" s="122" t="s">
        <v>186</v>
      </c>
      <c r="C34" s="123" t="s">
        <v>181</v>
      </c>
      <c r="D34" s="124">
        <v>2</v>
      </c>
      <c r="E34" s="124">
        <v>2</v>
      </c>
      <c r="F34" s="124">
        <v>1.05</v>
      </c>
      <c r="G34" s="124">
        <v>1.03</v>
      </c>
      <c r="H34" s="124">
        <v>1.08</v>
      </c>
      <c r="I34" s="125">
        <f t="shared" si="0"/>
        <v>1.1680200000000003</v>
      </c>
      <c r="J34" s="126">
        <f t="shared" si="1"/>
        <v>404240456.89998674</v>
      </c>
      <c r="K34" s="126">
        <f t="shared" si="2"/>
        <v>58150101.51224792</v>
      </c>
    </row>
    <row r="35" spans="2:11" ht="20.25" x14ac:dyDescent="0.2">
      <c r="B35" s="122" t="s">
        <v>187</v>
      </c>
      <c r="C35" s="123" t="s">
        <v>181</v>
      </c>
      <c r="D35" s="124">
        <v>2</v>
      </c>
      <c r="E35" s="124">
        <v>3</v>
      </c>
      <c r="F35" s="124">
        <v>1.05</v>
      </c>
      <c r="G35" s="124">
        <v>1.03</v>
      </c>
      <c r="H35" s="124">
        <v>1.03</v>
      </c>
      <c r="I35" s="125">
        <f t="shared" si="0"/>
        <v>1.1139450000000002</v>
      </c>
      <c r="J35" s="126">
        <f t="shared" si="1"/>
        <v>385525620.9323948</v>
      </c>
      <c r="K35" s="126">
        <f t="shared" si="2"/>
        <v>39435265.544655979</v>
      </c>
    </row>
    <row r="36" spans="2:11" ht="20.25" x14ac:dyDescent="0.2">
      <c r="B36" s="122" t="s">
        <v>188</v>
      </c>
      <c r="C36" s="123" t="s">
        <v>181</v>
      </c>
      <c r="D36" s="124">
        <v>2</v>
      </c>
      <c r="E36" s="124">
        <v>4</v>
      </c>
      <c r="F36" s="124">
        <v>1.05</v>
      </c>
      <c r="G36" s="124">
        <v>1.03</v>
      </c>
      <c r="H36" s="124">
        <v>1</v>
      </c>
      <c r="I36" s="125">
        <f t="shared" si="0"/>
        <v>1.0815000000000001</v>
      </c>
      <c r="J36" s="126">
        <f t="shared" si="1"/>
        <v>374296719.35183954</v>
      </c>
      <c r="K36" s="126">
        <f t="shared" si="2"/>
        <v>28206363.964100718</v>
      </c>
    </row>
    <row r="37" spans="2:11" ht="20.25" x14ac:dyDescent="0.2">
      <c r="B37" s="122" t="s">
        <v>189</v>
      </c>
      <c r="C37" s="123" t="s">
        <v>181</v>
      </c>
      <c r="D37" s="124">
        <v>3</v>
      </c>
      <c r="E37" s="124">
        <v>1</v>
      </c>
      <c r="F37" s="124">
        <v>1.05</v>
      </c>
      <c r="G37" s="124">
        <v>1.06</v>
      </c>
      <c r="H37" s="124">
        <v>1.05</v>
      </c>
      <c r="I37" s="125">
        <f t="shared" si="0"/>
        <v>1.1686500000000002</v>
      </c>
      <c r="J37" s="126">
        <f t="shared" si="1"/>
        <v>404458493.82388103</v>
      </c>
      <c r="K37" s="126">
        <f t="shared" si="2"/>
        <v>58368138.436142206</v>
      </c>
    </row>
    <row r="38" spans="2:11" ht="20.25" x14ac:dyDescent="0.2">
      <c r="B38" s="122" t="s">
        <v>190</v>
      </c>
      <c r="C38" s="123" t="s">
        <v>181</v>
      </c>
      <c r="D38" s="124">
        <v>3</v>
      </c>
      <c r="E38" s="124">
        <v>2</v>
      </c>
      <c r="F38" s="124">
        <v>1.05</v>
      </c>
      <c r="G38" s="124">
        <v>1.06</v>
      </c>
      <c r="H38" s="124">
        <v>1.08</v>
      </c>
      <c r="I38" s="125">
        <f t="shared" si="0"/>
        <v>1.2020400000000002</v>
      </c>
      <c r="J38" s="126">
        <f t="shared" si="1"/>
        <v>416014450.79027766</v>
      </c>
      <c r="K38" s="126">
        <f t="shared" si="2"/>
        <v>69924095.402538836</v>
      </c>
    </row>
    <row r="39" spans="2:11" ht="20.25" x14ac:dyDescent="0.2">
      <c r="B39" s="122" t="s">
        <v>191</v>
      </c>
      <c r="C39" s="123" t="s">
        <v>181</v>
      </c>
      <c r="D39" s="124">
        <v>3</v>
      </c>
      <c r="E39" s="124">
        <v>3</v>
      </c>
      <c r="F39" s="124">
        <v>1.05</v>
      </c>
      <c r="G39" s="124">
        <v>1.06</v>
      </c>
      <c r="H39" s="124">
        <v>1.03</v>
      </c>
      <c r="I39" s="125">
        <f t="shared" si="0"/>
        <v>1.1463900000000002</v>
      </c>
      <c r="J39" s="126">
        <f t="shared" si="1"/>
        <v>396754522.51295</v>
      </c>
      <c r="K39" s="126">
        <f t="shared" si="2"/>
        <v>50664167.125211179</v>
      </c>
    </row>
    <row r="40" spans="2:11" ht="20.25" x14ac:dyDescent="0.2">
      <c r="B40" s="122" t="s">
        <v>192</v>
      </c>
      <c r="C40" s="123" t="s">
        <v>181</v>
      </c>
      <c r="D40" s="124">
        <v>3</v>
      </c>
      <c r="E40" s="124">
        <v>4</v>
      </c>
      <c r="F40" s="124">
        <v>1.05</v>
      </c>
      <c r="G40" s="124">
        <v>1.06</v>
      </c>
      <c r="H40" s="124">
        <v>1</v>
      </c>
      <c r="I40" s="125">
        <f t="shared" si="0"/>
        <v>1.1130000000000002</v>
      </c>
      <c r="J40" s="126">
        <f t="shared" si="1"/>
        <v>385198565.54655337</v>
      </c>
      <c r="K40" s="126">
        <f t="shared" si="2"/>
        <v>39108210.158814549</v>
      </c>
    </row>
    <row r="41" spans="2:11" ht="20.25" x14ac:dyDescent="0.2">
      <c r="B41" s="122" t="s">
        <v>193</v>
      </c>
      <c r="C41" s="123" t="s">
        <v>194</v>
      </c>
      <c r="D41" s="124">
        <v>1</v>
      </c>
      <c r="E41" s="124">
        <v>1</v>
      </c>
      <c r="F41" s="124">
        <v>1.05</v>
      </c>
      <c r="G41" s="124">
        <v>1</v>
      </c>
      <c r="H41" s="124">
        <v>1.05</v>
      </c>
      <c r="I41" s="125">
        <f t="shared" si="0"/>
        <v>1.1025</v>
      </c>
      <c r="J41" s="126">
        <f t="shared" si="1"/>
        <v>381564616.81498206</v>
      </c>
      <c r="K41" s="126">
        <f t="shared" si="2"/>
        <v>35474261.427243233</v>
      </c>
    </row>
    <row r="42" spans="2:11" ht="20.25" x14ac:dyDescent="0.2">
      <c r="B42" s="122" t="s">
        <v>195</v>
      </c>
      <c r="C42" s="123" t="s">
        <v>194</v>
      </c>
      <c r="D42" s="124">
        <v>1</v>
      </c>
      <c r="E42" s="124">
        <v>2</v>
      </c>
      <c r="F42" s="124">
        <v>1.05</v>
      </c>
      <c r="G42" s="124">
        <v>1</v>
      </c>
      <c r="H42" s="124">
        <v>1.08</v>
      </c>
      <c r="I42" s="125">
        <f t="shared" si="0"/>
        <v>1.1340000000000001</v>
      </c>
      <c r="J42" s="126">
        <f t="shared" si="1"/>
        <v>392466463.00969589</v>
      </c>
      <c r="K42" s="126">
        <f t="shared" si="2"/>
        <v>46376107.621957064</v>
      </c>
    </row>
    <row r="43" spans="2:11" ht="20.25" x14ac:dyDescent="0.2">
      <c r="B43" s="122" t="s">
        <v>196</v>
      </c>
      <c r="C43" s="123" t="s">
        <v>194</v>
      </c>
      <c r="D43" s="124">
        <v>1</v>
      </c>
      <c r="E43" s="124">
        <v>3</v>
      </c>
      <c r="F43" s="124">
        <v>1.05</v>
      </c>
      <c r="G43" s="124">
        <v>1</v>
      </c>
      <c r="H43" s="124">
        <v>1.03</v>
      </c>
      <c r="I43" s="125">
        <f t="shared" si="0"/>
        <v>1.0815000000000001</v>
      </c>
      <c r="J43" s="126">
        <f t="shared" si="1"/>
        <v>374296719.35183954</v>
      </c>
      <c r="K43" s="126">
        <f t="shared" si="2"/>
        <v>28206363.964100718</v>
      </c>
    </row>
    <row r="44" spans="2:11" ht="20.25" x14ac:dyDescent="0.2">
      <c r="B44" s="122" t="s">
        <v>197</v>
      </c>
      <c r="C44" s="123" t="s">
        <v>194</v>
      </c>
      <c r="D44" s="124">
        <v>1</v>
      </c>
      <c r="E44" s="124">
        <v>4</v>
      </c>
      <c r="F44" s="124">
        <v>1.05</v>
      </c>
      <c r="G44" s="124">
        <v>1</v>
      </c>
      <c r="H44" s="124">
        <v>1</v>
      </c>
      <c r="I44" s="125">
        <f t="shared" si="0"/>
        <v>1.05</v>
      </c>
      <c r="J44" s="126">
        <f t="shared" si="1"/>
        <v>363394873.15712583</v>
      </c>
      <c r="K44" s="126">
        <f t="shared" si="2"/>
        <v>17304517.769387007</v>
      </c>
    </row>
    <row r="45" spans="2:11" ht="20.25" x14ac:dyDescent="0.2">
      <c r="B45" s="122" t="s">
        <v>198</v>
      </c>
      <c r="C45" s="123" t="s">
        <v>194</v>
      </c>
      <c r="D45" s="124">
        <v>2</v>
      </c>
      <c r="E45" s="124">
        <v>1</v>
      </c>
      <c r="F45" s="124">
        <v>1.05</v>
      </c>
      <c r="G45" s="124">
        <v>1.03</v>
      </c>
      <c r="H45" s="124">
        <v>1.05</v>
      </c>
      <c r="I45" s="125">
        <f t="shared" si="0"/>
        <v>1.1355750000000002</v>
      </c>
      <c r="J45" s="126">
        <f t="shared" si="1"/>
        <v>393011555.3194316</v>
      </c>
      <c r="K45" s="126">
        <f t="shared" si="2"/>
        <v>46921199.931692779</v>
      </c>
    </row>
    <row r="46" spans="2:11" ht="20.25" x14ac:dyDescent="0.2">
      <c r="B46" s="122" t="s">
        <v>199</v>
      </c>
      <c r="C46" s="123" t="s">
        <v>194</v>
      </c>
      <c r="D46" s="124">
        <v>2</v>
      </c>
      <c r="E46" s="124">
        <v>2</v>
      </c>
      <c r="F46" s="124">
        <v>1.05</v>
      </c>
      <c r="G46" s="124">
        <v>1.03</v>
      </c>
      <c r="H46" s="124">
        <v>1.08</v>
      </c>
      <c r="I46" s="125">
        <f t="shared" si="0"/>
        <v>1.1680200000000003</v>
      </c>
      <c r="J46" s="126">
        <f t="shared" si="1"/>
        <v>404240456.89998674</v>
      </c>
      <c r="K46" s="126">
        <f t="shared" si="2"/>
        <v>58150101.51224792</v>
      </c>
    </row>
    <row r="47" spans="2:11" ht="20.25" x14ac:dyDescent="0.2">
      <c r="B47" s="122" t="s">
        <v>200</v>
      </c>
      <c r="C47" s="123" t="s">
        <v>194</v>
      </c>
      <c r="D47" s="124">
        <v>2</v>
      </c>
      <c r="E47" s="124">
        <v>3</v>
      </c>
      <c r="F47" s="124">
        <v>1.05</v>
      </c>
      <c r="G47" s="124">
        <v>1.03</v>
      </c>
      <c r="H47" s="124">
        <v>1.03</v>
      </c>
      <c r="I47" s="125">
        <f t="shared" si="0"/>
        <v>1.1139450000000002</v>
      </c>
      <c r="J47" s="126">
        <f t="shared" si="1"/>
        <v>385525620.9323948</v>
      </c>
      <c r="K47" s="126">
        <f t="shared" si="2"/>
        <v>39435265.544655979</v>
      </c>
    </row>
    <row r="48" spans="2:11" ht="20.25" x14ac:dyDescent="0.2">
      <c r="B48" s="122" t="s">
        <v>201</v>
      </c>
      <c r="C48" s="123" t="s">
        <v>194</v>
      </c>
      <c r="D48" s="124">
        <v>2</v>
      </c>
      <c r="E48" s="124">
        <v>4</v>
      </c>
      <c r="F48" s="124">
        <v>1.05</v>
      </c>
      <c r="G48" s="124">
        <v>1.03</v>
      </c>
      <c r="H48" s="124">
        <v>1</v>
      </c>
      <c r="I48" s="125">
        <f t="shared" si="0"/>
        <v>1.0815000000000001</v>
      </c>
      <c r="J48" s="126">
        <f t="shared" si="1"/>
        <v>374296719.35183954</v>
      </c>
      <c r="K48" s="126">
        <f t="shared" si="2"/>
        <v>28206363.964100718</v>
      </c>
    </row>
    <row r="49" spans="2:11" ht="20.25" x14ac:dyDescent="0.2">
      <c r="B49" s="122" t="s">
        <v>202</v>
      </c>
      <c r="C49" s="123" t="s">
        <v>194</v>
      </c>
      <c r="D49" s="124">
        <v>3</v>
      </c>
      <c r="E49" s="124">
        <v>1</v>
      </c>
      <c r="F49" s="124">
        <v>1.05</v>
      </c>
      <c r="G49" s="124">
        <v>1.06</v>
      </c>
      <c r="H49" s="124">
        <v>1.05</v>
      </c>
      <c r="I49" s="125">
        <f t="shared" si="0"/>
        <v>1.1686500000000002</v>
      </c>
      <c r="J49" s="126">
        <f t="shared" si="1"/>
        <v>404458493.82388103</v>
      </c>
      <c r="K49" s="126">
        <f t="shared" si="2"/>
        <v>58368138.436142206</v>
      </c>
    </row>
    <row r="50" spans="2:11" ht="20.25" x14ac:dyDescent="0.2">
      <c r="B50" s="122" t="s">
        <v>177</v>
      </c>
      <c r="C50" s="123" t="s">
        <v>194</v>
      </c>
      <c r="D50" s="124">
        <v>3</v>
      </c>
      <c r="E50" s="124">
        <v>2</v>
      </c>
      <c r="F50" s="124">
        <v>1.05</v>
      </c>
      <c r="G50" s="124">
        <v>1.06</v>
      </c>
      <c r="H50" s="124">
        <v>1.08</v>
      </c>
      <c r="I50" s="125">
        <f t="shared" si="0"/>
        <v>1.2020400000000002</v>
      </c>
      <c r="J50" s="126">
        <f t="shared" si="1"/>
        <v>416014450.79027766</v>
      </c>
      <c r="K50" s="126">
        <f t="shared" si="2"/>
        <v>69924095.402538836</v>
      </c>
    </row>
    <row r="51" spans="2:11" ht="20.25" x14ac:dyDescent="0.2">
      <c r="B51" s="122" t="s">
        <v>203</v>
      </c>
      <c r="C51" s="123" t="s">
        <v>194</v>
      </c>
      <c r="D51" s="124">
        <v>3</v>
      </c>
      <c r="E51" s="124">
        <v>3</v>
      </c>
      <c r="F51" s="124">
        <v>1.05</v>
      </c>
      <c r="G51" s="124">
        <v>1.06</v>
      </c>
      <c r="H51" s="124">
        <v>1.03</v>
      </c>
      <c r="I51" s="125">
        <f t="shared" si="0"/>
        <v>1.1463900000000002</v>
      </c>
      <c r="J51" s="126">
        <f t="shared" si="1"/>
        <v>396754522.51295</v>
      </c>
      <c r="K51" s="126">
        <f t="shared" si="2"/>
        <v>50664167.125211179</v>
      </c>
    </row>
    <row r="52" spans="2:11" ht="20.25" x14ac:dyDescent="0.2">
      <c r="B52" s="122" t="s">
        <v>204</v>
      </c>
      <c r="C52" s="123" t="s">
        <v>194</v>
      </c>
      <c r="D52" s="124">
        <v>3</v>
      </c>
      <c r="E52" s="124">
        <v>4</v>
      </c>
      <c r="F52" s="124">
        <v>1.05</v>
      </c>
      <c r="G52" s="124">
        <v>1.06</v>
      </c>
      <c r="H52" s="124">
        <v>1</v>
      </c>
      <c r="I52" s="125">
        <f t="shared" si="0"/>
        <v>1.1130000000000002</v>
      </c>
      <c r="J52" s="126">
        <f t="shared" si="1"/>
        <v>385198565.54655337</v>
      </c>
      <c r="K52" s="126">
        <f t="shared" si="2"/>
        <v>39108210.158814549</v>
      </c>
    </row>
    <row r="53" spans="2:11" ht="21" x14ac:dyDescent="0.2">
      <c r="B53" s="303" t="s">
        <v>205</v>
      </c>
      <c r="C53" s="303"/>
      <c r="D53" s="303"/>
      <c r="E53" s="303"/>
      <c r="F53" s="303"/>
      <c r="G53" s="303"/>
      <c r="H53" s="303"/>
      <c r="I53" s="219">
        <f>SUM(I5:I52)</f>
        <v>52.703039999999987</v>
      </c>
      <c r="J53" s="220">
        <f>SUM(J5:J52)</f>
        <v>18240013843.614208</v>
      </c>
      <c r="K53" s="220">
        <f>SUM(K5:K52)</f>
        <v>1627676785.0027533</v>
      </c>
    </row>
    <row r="54" spans="2:11" x14ac:dyDescent="0.2">
      <c r="B54" s="127"/>
    </row>
  </sheetData>
  <customSheetViews>
    <customSheetView guid="{2AB27FB0-6750-413F-B436-DA6A7082F863}">
      <selection activeCell="S4" sqref="S4"/>
      <pageMargins left="0.7" right="0.7" top="0.75" bottom="0.75" header="0.3" footer="0.3"/>
      <pageSetup paperSize="9" orientation="portrait" r:id="rId1"/>
    </customSheetView>
  </customSheetViews>
  <mergeCells count="5">
    <mergeCell ref="B1:K1"/>
    <mergeCell ref="B2:E2"/>
    <mergeCell ref="F2:G2"/>
    <mergeCell ref="I2:K2"/>
    <mergeCell ref="B53:H53"/>
  </mergeCell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2965E-ECCD-41A6-AAAE-5427E28F7418}">
  <sheetPr>
    <pageSetUpPr fitToPage="1"/>
  </sheetPr>
  <dimension ref="A1:H49"/>
  <sheetViews>
    <sheetView rightToLeft="1" workbookViewId="0">
      <selection sqref="A1:C1"/>
    </sheetView>
  </sheetViews>
  <sheetFormatPr defaultRowHeight="14.25" x14ac:dyDescent="0.2"/>
  <cols>
    <col min="1" max="1" width="9.25" customWidth="1"/>
    <col min="2" max="3" width="16.25" customWidth="1"/>
    <col min="4" max="4" width="7.75" customWidth="1"/>
    <col min="5" max="5" width="11.125" customWidth="1"/>
    <col min="6" max="6" width="16.25" customWidth="1"/>
    <col min="7" max="7" width="15.375" customWidth="1"/>
    <col min="8" max="8" width="16.25" customWidth="1"/>
  </cols>
  <sheetData>
    <row r="1" spans="1:8" ht="33" customHeight="1" x14ac:dyDescent="0.2">
      <c r="A1" s="304" t="s">
        <v>221</v>
      </c>
      <c r="B1" s="305"/>
      <c r="C1" s="305"/>
      <c r="D1" s="306" t="str">
        <f>B4</f>
        <v>1360/07/10</v>
      </c>
      <c r="E1" s="306"/>
      <c r="F1" s="142" t="s">
        <v>222</v>
      </c>
      <c r="G1" s="142" t="str">
        <f>C47</f>
        <v>1403/06/01</v>
      </c>
      <c r="H1" s="143"/>
    </row>
    <row r="2" spans="1:8" ht="30" customHeight="1" x14ac:dyDescent="0.2">
      <c r="A2" s="307" t="s">
        <v>223</v>
      </c>
      <c r="B2" s="307"/>
      <c r="C2" s="307"/>
      <c r="D2" s="307"/>
      <c r="E2" s="307"/>
      <c r="F2" s="307"/>
      <c r="G2" s="307"/>
      <c r="H2" s="307"/>
    </row>
    <row r="3" spans="1:8" ht="56.25" customHeight="1" x14ac:dyDescent="0.2">
      <c r="A3" s="212" t="s">
        <v>224</v>
      </c>
      <c r="B3" s="213" t="s">
        <v>225</v>
      </c>
      <c r="C3" s="214" t="s">
        <v>226</v>
      </c>
      <c r="D3" s="215" t="s">
        <v>227</v>
      </c>
      <c r="E3" s="216" t="s">
        <v>228</v>
      </c>
      <c r="F3" s="215" t="s">
        <v>229</v>
      </c>
      <c r="G3" s="215" t="s">
        <v>230</v>
      </c>
      <c r="H3" s="217" t="s">
        <v>231</v>
      </c>
    </row>
    <row r="4" spans="1:8" ht="22.5" x14ac:dyDescent="0.55000000000000004">
      <c r="A4" s="144">
        <v>1360</v>
      </c>
      <c r="B4" s="145" t="s">
        <v>232</v>
      </c>
      <c r="C4" s="145" t="s">
        <v>233</v>
      </c>
      <c r="D4" s="146">
        <f>5+20/30</f>
        <v>5.666666666666667</v>
      </c>
      <c r="E4" s="147">
        <v>23</v>
      </c>
      <c r="F4" s="148">
        <f t="shared" ref="F4:F45" si="0">F5/(1+E4/100)</f>
        <v>20579.399126922814</v>
      </c>
      <c r="G4" s="149">
        <f>ROUND(F4,-2)</f>
        <v>20600</v>
      </c>
      <c r="H4" s="150">
        <f t="shared" ref="H4:H47" si="1">G4*D4</f>
        <v>116733.33333333334</v>
      </c>
    </row>
    <row r="5" spans="1:8" ht="22.5" x14ac:dyDescent="0.55000000000000004">
      <c r="A5" s="144">
        <v>1361</v>
      </c>
      <c r="B5" s="145" t="s">
        <v>234</v>
      </c>
      <c r="C5" s="145" t="s">
        <v>235</v>
      </c>
      <c r="D5" s="151">
        <v>12</v>
      </c>
      <c r="E5" s="147">
        <v>20</v>
      </c>
      <c r="F5" s="148">
        <f t="shared" si="0"/>
        <v>25312.660926115059</v>
      </c>
      <c r="G5" s="149">
        <f t="shared" ref="G5:G19" si="2">ROUND(F5,-2)</f>
        <v>25300</v>
      </c>
      <c r="H5" s="150">
        <f t="shared" si="1"/>
        <v>303600</v>
      </c>
    </row>
    <row r="6" spans="1:8" ht="22.5" x14ac:dyDescent="0.55000000000000004">
      <c r="A6" s="144">
        <v>1362</v>
      </c>
      <c r="B6" s="145" t="s">
        <v>236</v>
      </c>
      <c r="C6" s="145" t="s">
        <v>237</v>
      </c>
      <c r="D6" s="151">
        <v>12</v>
      </c>
      <c r="E6" s="147">
        <v>15</v>
      </c>
      <c r="F6" s="148">
        <f t="shared" si="0"/>
        <v>30375.193111338071</v>
      </c>
      <c r="G6" s="149">
        <f t="shared" si="2"/>
        <v>30400</v>
      </c>
      <c r="H6" s="150">
        <f t="shared" si="1"/>
        <v>364800</v>
      </c>
    </row>
    <row r="7" spans="1:8" ht="22.5" x14ac:dyDescent="0.55000000000000004">
      <c r="A7" s="144">
        <v>1363</v>
      </c>
      <c r="B7" s="145" t="s">
        <v>238</v>
      </c>
      <c r="C7" s="145" t="s">
        <v>239</v>
      </c>
      <c r="D7" s="151">
        <v>12</v>
      </c>
      <c r="E7" s="147">
        <v>11</v>
      </c>
      <c r="F7" s="148">
        <f t="shared" si="0"/>
        <v>34931.47207803878</v>
      </c>
      <c r="G7" s="149">
        <f t="shared" si="2"/>
        <v>34900</v>
      </c>
      <c r="H7" s="150">
        <f t="shared" si="1"/>
        <v>418800</v>
      </c>
    </row>
    <row r="8" spans="1:8" ht="22.5" x14ac:dyDescent="0.55000000000000004">
      <c r="A8" s="144">
        <v>1364</v>
      </c>
      <c r="B8" s="145" t="s">
        <v>240</v>
      </c>
      <c r="C8" s="145" t="s">
        <v>241</v>
      </c>
      <c r="D8" s="151">
        <v>12</v>
      </c>
      <c r="E8" s="147">
        <v>7</v>
      </c>
      <c r="F8" s="148">
        <f t="shared" si="0"/>
        <v>38773.934006623051</v>
      </c>
      <c r="G8" s="149">
        <f t="shared" si="2"/>
        <v>38800</v>
      </c>
      <c r="H8" s="150">
        <f t="shared" si="1"/>
        <v>465600</v>
      </c>
    </row>
    <row r="9" spans="1:8" ht="22.5" x14ac:dyDescent="0.55000000000000004">
      <c r="A9" s="144">
        <v>1365</v>
      </c>
      <c r="B9" s="145" t="s">
        <v>242</v>
      </c>
      <c r="C9" s="145" t="s">
        <v>243</v>
      </c>
      <c r="D9" s="151">
        <v>12</v>
      </c>
      <c r="E9" s="147">
        <v>24</v>
      </c>
      <c r="F9" s="148">
        <f t="shared" si="0"/>
        <v>41488.109387086668</v>
      </c>
      <c r="G9" s="149">
        <f t="shared" si="2"/>
        <v>41500</v>
      </c>
      <c r="H9" s="150">
        <f t="shared" si="1"/>
        <v>498000</v>
      </c>
    </row>
    <row r="10" spans="1:8" ht="22.5" x14ac:dyDescent="0.55000000000000004">
      <c r="A10" s="144">
        <v>1366</v>
      </c>
      <c r="B10" s="145" t="s">
        <v>244</v>
      </c>
      <c r="C10" s="145" t="s">
        <v>245</v>
      </c>
      <c r="D10" s="151">
        <v>12</v>
      </c>
      <c r="E10" s="147">
        <v>28</v>
      </c>
      <c r="F10" s="148">
        <f t="shared" si="0"/>
        <v>51445.255639987467</v>
      </c>
      <c r="G10" s="149">
        <f t="shared" si="2"/>
        <v>51400</v>
      </c>
      <c r="H10" s="150">
        <f t="shared" si="1"/>
        <v>616800</v>
      </c>
    </row>
    <row r="11" spans="1:8" ht="22.5" x14ac:dyDescent="0.55000000000000004">
      <c r="A11" s="144">
        <v>1367</v>
      </c>
      <c r="B11" s="145" t="s">
        <v>246</v>
      </c>
      <c r="C11" s="145" t="s">
        <v>247</v>
      </c>
      <c r="D11" s="151">
        <v>12</v>
      </c>
      <c r="E11" s="147">
        <v>29</v>
      </c>
      <c r="F11" s="148">
        <f t="shared" si="0"/>
        <v>65849.927219183955</v>
      </c>
      <c r="G11" s="149">
        <f t="shared" si="2"/>
        <v>65800</v>
      </c>
      <c r="H11" s="150">
        <f t="shared" si="1"/>
        <v>789600</v>
      </c>
    </row>
    <row r="12" spans="1:8" ht="22.5" x14ac:dyDescent="0.55000000000000004">
      <c r="A12" s="144">
        <v>1368</v>
      </c>
      <c r="B12" s="145" t="s">
        <v>248</v>
      </c>
      <c r="C12" s="145" t="s">
        <v>249</v>
      </c>
      <c r="D12" s="151">
        <v>12</v>
      </c>
      <c r="E12" s="147">
        <v>18</v>
      </c>
      <c r="F12" s="148">
        <f t="shared" si="0"/>
        <v>84946.406112747296</v>
      </c>
      <c r="G12" s="149">
        <f t="shared" si="2"/>
        <v>84900</v>
      </c>
      <c r="H12" s="150">
        <f t="shared" si="1"/>
        <v>1018800</v>
      </c>
    </row>
    <row r="13" spans="1:8" ht="22.5" x14ac:dyDescent="0.55000000000000004">
      <c r="A13" s="144">
        <v>1369</v>
      </c>
      <c r="B13" s="145" t="s">
        <v>250</v>
      </c>
      <c r="C13" s="145" t="s">
        <v>251</v>
      </c>
      <c r="D13" s="151">
        <v>12</v>
      </c>
      <c r="E13" s="147">
        <v>9</v>
      </c>
      <c r="F13" s="148">
        <f t="shared" si="0"/>
        <v>100236.75921304181</v>
      </c>
      <c r="G13" s="149">
        <f t="shared" si="2"/>
        <v>100200</v>
      </c>
      <c r="H13" s="150">
        <f t="shared" si="1"/>
        <v>1202400</v>
      </c>
    </row>
    <row r="14" spans="1:8" ht="22.5" x14ac:dyDescent="0.55000000000000004">
      <c r="A14" s="144">
        <v>1370</v>
      </c>
      <c r="B14" s="145" t="s">
        <v>252</v>
      </c>
      <c r="C14" s="145" t="s">
        <v>253</v>
      </c>
      <c r="D14" s="151">
        <v>12</v>
      </c>
      <c r="E14" s="147">
        <v>21</v>
      </c>
      <c r="F14" s="148">
        <f t="shared" si="0"/>
        <v>109258.06754221558</v>
      </c>
      <c r="G14" s="149">
        <f t="shared" si="2"/>
        <v>109300</v>
      </c>
      <c r="H14" s="150">
        <f t="shared" si="1"/>
        <v>1311600</v>
      </c>
    </row>
    <row r="15" spans="1:8" ht="22.5" x14ac:dyDescent="0.55000000000000004">
      <c r="A15" s="144">
        <v>1371</v>
      </c>
      <c r="B15" s="145" t="s">
        <v>254</v>
      </c>
      <c r="C15" s="145" t="s">
        <v>255</v>
      </c>
      <c r="D15" s="151">
        <v>12</v>
      </c>
      <c r="E15" s="147">
        <v>25</v>
      </c>
      <c r="F15" s="148">
        <f t="shared" si="0"/>
        <v>132202.26172608085</v>
      </c>
      <c r="G15" s="149">
        <f t="shared" si="2"/>
        <v>132200</v>
      </c>
      <c r="H15" s="150">
        <f t="shared" si="1"/>
        <v>1586400</v>
      </c>
    </row>
    <row r="16" spans="1:8" ht="22.5" x14ac:dyDescent="0.55000000000000004">
      <c r="A16" s="144">
        <v>1372</v>
      </c>
      <c r="B16" s="145" t="s">
        <v>256</v>
      </c>
      <c r="C16" s="145" t="s">
        <v>257</v>
      </c>
      <c r="D16" s="151">
        <v>12</v>
      </c>
      <c r="E16" s="147">
        <v>23</v>
      </c>
      <c r="F16" s="148">
        <f t="shared" si="0"/>
        <v>165252.82715760107</v>
      </c>
      <c r="G16" s="149">
        <f t="shared" si="2"/>
        <v>165300</v>
      </c>
      <c r="H16" s="150">
        <f t="shared" si="1"/>
        <v>1983600</v>
      </c>
    </row>
    <row r="17" spans="1:8" ht="22.5" x14ac:dyDescent="0.55000000000000004">
      <c r="A17" s="144">
        <v>1373</v>
      </c>
      <c r="B17" s="145" t="s">
        <v>258</v>
      </c>
      <c r="C17" s="145" t="s">
        <v>259</v>
      </c>
      <c r="D17" s="151">
        <v>12</v>
      </c>
      <c r="E17" s="147">
        <v>36</v>
      </c>
      <c r="F17" s="148">
        <f t="shared" si="0"/>
        <v>203260.97740384933</v>
      </c>
      <c r="G17" s="149">
        <f t="shared" si="2"/>
        <v>203300</v>
      </c>
      <c r="H17" s="150">
        <f t="shared" si="1"/>
        <v>2439600</v>
      </c>
    </row>
    <row r="18" spans="1:8" ht="22.5" x14ac:dyDescent="0.55000000000000004">
      <c r="A18" s="144">
        <v>1374</v>
      </c>
      <c r="B18" s="145" t="s">
        <v>260</v>
      </c>
      <c r="C18" s="145" t="s">
        <v>261</v>
      </c>
      <c r="D18" s="151">
        <v>12</v>
      </c>
      <c r="E18" s="147">
        <v>50</v>
      </c>
      <c r="F18" s="148">
        <f t="shared" si="0"/>
        <v>276434.92926923506</v>
      </c>
      <c r="G18" s="149">
        <f t="shared" si="2"/>
        <v>276400</v>
      </c>
      <c r="H18" s="150">
        <f t="shared" si="1"/>
        <v>3316800</v>
      </c>
    </row>
    <row r="19" spans="1:8" ht="22.5" x14ac:dyDescent="0.55000000000000004">
      <c r="A19" s="144">
        <v>1375</v>
      </c>
      <c r="B19" s="145" t="s">
        <v>262</v>
      </c>
      <c r="C19" s="145" t="s">
        <v>263</v>
      </c>
      <c r="D19" s="151">
        <v>12</v>
      </c>
      <c r="E19" s="147">
        <v>24</v>
      </c>
      <c r="F19" s="148">
        <f t="shared" si="0"/>
        <v>414652.39390385256</v>
      </c>
      <c r="G19" s="149">
        <f t="shared" si="2"/>
        <v>414700</v>
      </c>
      <c r="H19" s="150">
        <f t="shared" si="1"/>
        <v>4976400</v>
      </c>
    </row>
    <row r="20" spans="1:8" ht="22.5" x14ac:dyDescent="0.55000000000000004">
      <c r="A20" s="144">
        <v>1376</v>
      </c>
      <c r="B20" s="145" t="s">
        <v>264</v>
      </c>
      <c r="C20" s="145" t="s">
        <v>265</v>
      </c>
      <c r="D20" s="151">
        <v>12</v>
      </c>
      <c r="E20" s="147">
        <v>24</v>
      </c>
      <c r="F20" s="148">
        <f t="shared" si="0"/>
        <v>514168.96844077716</v>
      </c>
      <c r="G20" s="149">
        <f>ROUND(F20,-3)</f>
        <v>514000</v>
      </c>
      <c r="H20" s="150">
        <f t="shared" si="1"/>
        <v>6168000</v>
      </c>
    </row>
    <row r="21" spans="1:8" ht="22.5" x14ac:dyDescent="0.55000000000000004">
      <c r="A21" s="144">
        <v>1377</v>
      </c>
      <c r="B21" s="145" t="s">
        <v>266</v>
      </c>
      <c r="C21" s="145" t="s">
        <v>267</v>
      </c>
      <c r="D21" s="151">
        <v>12</v>
      </c>
      <c r="E21" s="147">
        <v>18</v>
      </c>
      <c r="F21" s="148">
        <f t="shared" si="0"/>
        <v>637569.52086656366</v>
      </c>
      <c r="G21" s="149">
        <f t="shared" ref="G21:G47" si="3">ROUND(F21,-3)</f>
        <v>638000</v>
      </c>
      <c r="H21" s="150">
        <f t="shared" si="1"/>
        <v>7656000</v>
      </c>
    </row>
    <row r="22" spans="1:8" ht="22.5" x14ac:dyDescent="0.55000000000000004">
      <c r="A22" s="144">
        <v>1378</v>
      </c>
      <c r="B22" s="145" t="s">
        <v>268</v>
      </c>
      <c r="C22" s="145" t="s">
        <v>269</v>
      </c>
      <c r="D22" s="151">
        <v>12</v>
      </c>
      <c r="E22" s="147">
        <v>17</v>
      </c>
      <c r="F22" s="148">
        <f t="shared" si="0"/>
        <v>752332.03462254512</v>
      </c>
      <c r="G22" s="149">
        <f t="shared" si="3"/>
        <v>752000</v>
      </c>
      <c r="H22" s="150">
        <f t="shared" si="1"/>
        <v>9024000</v>
      </c>
    </row>
    <row r="23" spans="1:8" ht="22.5" x14ac:dyDescent="0.55000000000000004">
      <c r="A23" s="144">
        <v>1379</v>
      </c>
      <c r="B23" s="145" t="s">
        <v>270</v>
      </c>
      <c r="C23" s="145" t="s">
        <v>271</v>
      </c>
      <c r="D23" s="151">
        <v>12</v>
      </c>
      <c r="E23" s="147">
        <v>20</v>
      </c>
      <c r="F23" s="148">
        <f t="shared" si="0"/>
        <v>880228.48050837778</v>
      </c>
      <c r="G23" s="149">
        <f t="shared" si="3"/>
        <v>880000</v>
      </c>
      <c r="H23" s="150">
        <f t="shared" si="1"/>
        <v>10560000</v>
      </c>
    </row>
    <row r="24" spans="1:8" ht="22.5" x14ac:dyDescent="0.55000000000000004">
      <c r="A24" s="144">
        <v>1380</v>
      </c>
      <c r="B24" s="145" t="s">
        <v>272</v>
      </c>
      <c r="C24" s="145" t="s">
        <v>273</v>
      </c>
      <c r="D24" s="151">
        <v>12</v>
      </c>
      <c r="E24" s="147">
        <v>22</v>
      </c>
      <c r="F24" s="148">
        <f t="shared" si="0"/>
        <v>1056274.1766100533</v>
      </c>
      <c r="G24" s="149">
        <f t="shared" si="3"/>
        <v>1056000</v>
      </c>
      <c r="H24" s="150">
        <f t="shared" si="1"/>
        <v>12672000</v>
      </c>
    </row>
    <row r="25" spans="1:8" ht="22.5" x14ac:dyDescent="0.55000000000000004">
      <c r="A25" s="144">
        <v>1381</v>
      </c>
      <c r="B25" s="145" t="s">
        <v>274</v>
      </c>
      <c r="C25" s="145" t="s">
        <v>275</v>
      </c>
      <c r="D25" s="151">
        <v>12</v>
      </c>
      <c r="E25" s="147">
        <v>17</v>
      </c>
      <c r="F25" s="148">
        <f t="shared" si="0"/>
        <v>1288654.4954642651</v>
      </c>
      <c r="G25" s="149">
        <f t="shared" si="3"/>
        <v>1289000</v>
      </c>
      <c r="H25" s="150">
        <f t="shared" si="1"/>
        <v>15468000</v>
      </c>
    </row>
    <row r="26" spans="1:8" ht="22.5" x14ac:dyDescent="0.55000000000000004">
      <c r="A26" s="144">
        <v>1382</v>
      </c>
      <c r="B26" s="145" t="s">
        <v>276</v>
      </c>
      <c r="C26" s="145" t="s">
        <v>277</v>
      </c>
      <c r="D26" s="151">
        <v>12</v>
      </c>
      <c r="E26" s="147">
        <v>17</v>
      </c>
      <c r="F26" s="148">
        <f t="shared" si="0"/>
        <v>1507725.75969319</v>
      </c>
      <c r="G26" s="149">
        <f t="shared" si="3"/>
        <v>1508000</v>
      </c>
      <c r="H26" s="150">
        <f t="shared" si="1"/>
        <v>18096000</v>
      </c>
    </row>
    <row r="27" spans="1:8" ht="22.5" x14ac:dyDescent="0.55000000000000004">
      <c r="A27" s="144">
        <v>1383</v>
      </c>
      <c r="B27" s="145" t="s">
        <v>278</v>
      </c>
      <c r="C27" s="145" t="s">
        <v>279</v>
      </c>
      <c r="D27" s="151">
        <v>12</v>
      </c>
      <c r="E27" s="147">
        <v>17</v>
      </c>
      <c r="F27" s="148">
        <f t="shared" si="0"/>
        <v>1764039.1388410321</v>
      </c>
      <c r="G27" s="149">
        <f t="shared" si="3"/>
        <v>1764000</v>
      </c>
      <c r="H27" s="150">
        <f t="shared" si="1"/>
        <v>21168000</v>
      </c>
    </row>
    <row r="28" spans="1:8" ht="22.5" x14ac:dyDescent="0.55000000000000004">
      <c r="A28" s="144">
        <v>1384</v>
      </c>
      <c r="B28" s="145" t="s">
        <v>280</v>
      </c>
      <c r="C28" s="145" t="s">
        <v>281</v>
      </c>
      <c r="D28" s="151">
        <v>12</v>
      </c>
      <c r="E28" s="147">
        <v>16</v>
      </c>
      <c r="F28" s="148">
        <f t="shared" si="0"/>
        <v>2063925.7924440072</v>
      </c>
      <c r="G28" s="149">
        <f t="shared" si="3"/>
        <v>2064000</v>
      </c>
      <c r="H28" s="150">
        <f t="shared" si="1"/>
        <v>24768000</v>
      </c>
    </row>
    <row r="29" spans="1:8" ht="22.5" x14ac:dyDescent="0.55000000000000004">
      <c r="A29" s="144">
        <v>1385</v>
      </c>
      <c r="B29" s="145" t="s">
        <v>282</v>
      </c>
      <c r="C29" s="145" t="s">
        <v>283</v>
      </c>
      <c r="D29" s="151">
        <v>12</v>
      </c>
      <c r="E29" s="147">
        <v>16</v>
      </c>
      <c r="F29" s="148">
        <f t="shared" si="0"/>
        <v>2394153.9192350483</v>
      </c>
      <c r="G29" s="149">
        <f t="shared" si="3"/>
        <v>2394000</v>
      </c>
      <c r="H29" s="150">
        <f t="shared" si="1"/>
        <v>28728000</v>
      </c>
    </row>
    <row r="30" spans="1:8" ht="22.5" x14ac:dyDescent="0.55000000000000004">
      <c r="A30" s="144">
        <v>1386</v>
      </c>
      <c r="B30" s="145" t="s">
        <v>284</v>
      </c>
      <c r="C30" s="145" t="s">
        <v>285</v>
      </c>
      <c r="D30" s="151">
        <v>12</v>
      </c>
      <c r="E30" s="147">
        <v>19</v>
      </c>
      <c r="F30" s="148">
        <f t="shared" si="0"/>
        <v>2777218.5463126558</v>
      </c>
      <c r="G30" s="149">
        <f t="shared" si="3"/>
        <v>2777000</v>
      </c>
      <c r="H30" s="150">
        <f t="shared" si="1"/>
        <v>33324000</v>
      </c>
    </row>
    <row r="31" spans="1:8" ht="22.5" x14ac:dyDescent="0.55000000000000004">
      <c r="A31" s="144">
        <v>1387</v>
      </c>
      <c r="B31" s="145" t="s">
        <v>286</v>
      </c>
      <c r="C31" s="145" t="s">
        <v>287</v>
      </c>
      <c r="D31" s="151">
        <v>12</v>
      </c>
      <c r="E31" s="147">
        <v>25</v>
      </c>
      <c r="F31" s="148">
        <f t="shared" si="0"/>
        <v>3304890.0701120603</v>
      </c>
      <c r="G31" s="149">
        <f t="shared" si="3"/>
        <v>3305000</v>
      </c>
      <c r="H31" s="150">
        <f t="shared" si="1"/>
        <v>39660000</v>
      </c>
    </row>
    <row r="32" spans="1:8" ht="22.5" x14ac:dyDescent="0.55000000000000004">
      <c r="A32" s="144">
        <v>1388</v>
      </c>
      <c r="B32" s="145" t="s">
        <v>288</v>
      </c>
      <c r="C32" s="145" t="s">
        <v>289</v>
      </c>
      <c r="D32" s="151">
        <v>12</v>
      </c>
      <c r="E32" s="147">
        <v>18</v>
      </c>
      <c r="F32" s="148">
        <f t="shared" si="0"/>
        <v>4131112.5876400755</v>
      </c>
      <c r="G32" s="149">
        <f t="shared" si="3"/>
        <v>4131000</v>
      </c>
      <c r="H32" s="150">
        <f t="shared" si="1"/>
        <v>49572000</v>
      </c>
    </row>
    <row r="33" spans="1:8" ht="22.5" x14ac:dyDescent="0.55000000000000004">
      <c r="A33" s="144">
        <v>1389</v>
      </c>
      <c r="B33" s="145" t="s">
        <v>290</v>
      </c>
      <c r="C33" s="145" t="s">
        <v>291</v>
      </c>
      <c r="D33" s="151">
        <v>12</v>
      </c>
      <c r="E33" s="147">
        <v>18</v>
      </c>
      <c r="F33" s="148">
        <f t="shared" si="0"/>
        <v>4874712.853415289</v>
      </c>
      <c r="G33" s="149">
        <f t="shared" si="3"/>
        <v>4875000</v>
      </c>
      <c r="H33" s="150">
        <f t="shared" si="1"/>
        <v>58500000</v>
      </c>
    </row>
    <row r="34" spans="1:8" ht="22.5" x14ac:dyDescent="0.55000000000000004">
      <c r="A34" s="144">
        <v>1390</v>
      </c>
      <c r="B34" s="145" t="s">
        <v>292</v>
      </c>
      <c r="C34" s="145" t="s">
        <v>293</v>
      </c>
      <c r="D34" s="151">
        <v>12</v>
      </c>
      <c r="E34" s="147">
        <v>22</v>
      </c>
      <c r="F34" s="148">
        <f t="shared" si="0"/>
        <v>5752161.1670300411</v>
      </c>
      <c r="G34" s="149">
        <f t="shared" si="3"/>
        <v>5752000</v>
      </c>
      <c r="H34" s="150">
        <f t="shared" si="1"/>
        <v>69024000</v>
      </c>
    </row>
    <row r="35" spans="1:8" ht="22.5" x14ac:dyDescent="0.55000000000000004">
      <c r="A35" s="144">
        <v>1391</v>
      </c>
      <c r="B35" s="145" t="s">
        <v>294</v>
      </c>
      <c r="C35" s="145" t="s">
        <v>295</v>
      </c>
      <c r="D35" s="151">
        <v>12</v>
      </c>
      <c r="E35" s="147">
        <v>25</v>
      </c>
      <c r="F35" s="148">
        <f t="shared" si="0"/>
        <v>7017636.6237766501</v>
      </c>
      <c r="G35" s="149">
        <f t="shared" si="3"/>
        <v>7018000</v>
      </c>
      <c r="H35" s="150">
        <f t="shared" si="1"/>
        <v>84216000</v>
      </c>
    </row>
    <row r="36" spans="1:8" ht="22.5" x14ac:dyDescent="0.55000000000000004">
      <c r="A36" s="144">
        <v>1392</v>
      </c>
      <c r="B36" s="145" t="s">
        <v>296</v>
      </c>
      <c r="C36" s="145" t="s">
        <v>297</v>
      </c>
      <c r="D36" s="151">
        <v>12</v>
      </c>
      <c r="E36" s="147">
        <v>20</v>
      </c>
      <c r="F36" s="148">
        <f t="shared" si="0"/>
        <v>8772045.779720813</v>
      </c>
      <c r="G36" s="149">
        <f t="shared" si="3"/>
        <v>8772000</v>
      </c>
      <c r="H36" s="150">
        <f t="shared" si="1"/>
        <v>105264000</v>
      </c>
    </row>
    <row r="37" spans="1:8" ht="22.5" x14ac:dyDescent="0.55000000000000004">
      <c r="A37" s="144">
        <v>1393</v>
      </c>
      <c r="B37" s="145" t="s">
        <v>298</v>
      </c>
      <c r="C37" s="145" t="s">
        <v>299</v>
      </c>
      <c r="D37" s="151">
        <v>12</v>
      </c>
      <c r="E37" s="147">
        <v>16</v>
      </c>
      <c r="F37" s="148">
        <f t="shared" si="0"/>
        <v>10526454.935664974</v>
      </c>
      <c r="G37" s="149">
        <f t="shared" si="3"/>
        <v>10526000</v>
      </c>
      <c r="H37" s="150">
        <f t="shared" si="1"/>
        <v>126312000</v>
      </c>
    </row>
    <row r="38" spans="1:8" ht="22.5" x14ac:dyDescent="0.55000000000000004">
      <c r="A38" s="144">
        <v>1394</v>
      </c>
      <c r="B38" s="145" t="s">
        <v>300</v>
      </c>
      <c r="C38" s="145" t="s">
        <v>301</v>
      </c>
      <c r="D38" s="151">
        <v>12</v>
      </c>
      <c r="E38" s="147">
        <v>15</v>
      </c>
      <c r="F38" s="148">
        <f t="shared" si="0"/>
        <v>12210687.72537137</v>
      </c>
      <c r="G38" s="149">
        <f t="shared" si="3"/>
        <v>12211000</v>
      </c>
      <c r="H38" s="150">
        <f t="shared" si="1"/>
        <v>146532000</v>
      </c>
    </row>
    <row r="39" spans="1:8" ht="22.5" x14ac:dyDescent="0.55000000000000004">
      <c r="A39" s="144">
        <v>1395</v>
      </c>
      <c r="B39" s="145" t="s">
        <v>302</v>
      </c>
      <c r="C39" s="145" t="s">
        <v>303</v>
      </c>
      <c r="D39" s="151">
        <v>12</v>
      </c>
      <c r="E39" s="147">
        <v>12</v>
      </c>
      <c r="F39" s="148">
        <f t="shared" si="0"/>
        <v>14042290.884177074</v>
      </c>
      <c r="G39" s="149">
        <f t="shared" si="3"/>
        <v>14042000</v>
      </c>
      <c r="H39" s="150">
        <f t="shared" si="1"/>
        <v>168504000</v>
      </c>
    </row>
    <row r="40" spans="1:8" ht="22.5" x14ac:dyDescent="0.55000000000000004">
      <c r="A40" s="144">
        <v>1396</v>
      </c>
      <c r="B40" s="145" t="s">
        <v>304</v>
      </c>
      <c r="C40" s="145" t="s">
        <v>305</v>
      </c>
      <c r="D40" s="151">
        <v>12</v>
      </c>
      <c r="E40" s="147">
        <v>14</v>
      </c>
      <c r="F40" s="148">
        <f t="shared" si="0"/>
        <v>15727365.790278325</v>
      </c>
      <c r="G40" s="149">
        <f t="shared" si="3"/>
        <v>15727000</v>
      </c>
      <c r="H40" s="150">
        <f t="shared" si="1"/>
        <v>188724000</v>
      </c>
    </row>
    <row r="41" spans="1:8" ht="22.5" x14ac:dyDescent="0.55000000000000004">
      <c r="A41" s="144">
        <v>1397</v>
      </c>
      <c r="B41" s="145" t="s">
        <v>306</v>
      </c>
      <c r="C41" s="145" t="s">
        <v>307</v>
      </c>
      <c r="D41" s="151">
        <v>12</v>
      </c>
      <c r="E41" s="147">
        <v>23</v>
      </c>
      <c r="F41" s="148">
        <f t="shared" si="0"/>
        <v>17929197.000917293</v>
      </c>
      <c r="G41" s="149">
        <f t="shared" si="3"/>
        <v>17929000</v>
      </c>
      <c r="H41" s="150">
        <f t="shared" si="1"/>
        <v>215148000</v>
      </c>
    </row>
    <row r="42" spans="1:8" ht="22.5" x14ac:dyDescent="0.55000000000000004">
      <c r="A42" s="144">
        <v>1398</v>
      </c>
      <c r="B42" s="145" t="s">
        <v>308</v>
      </c>
      <c r="C42" s="145" t="s">
        <v>309</v>
      </c>
      <c r="D42" s="151">
        <v>12</v>
      </c>
      <c r="E42" s="147">
        <v>28</v>
      </c>
      <c r="F42" s="148">
        <f t="shared" si="0"/>
        <v>22052912.31112827</v>
      </c>
      <c r="G42" s="149">
        <f t="shared" si="3"/>
        <v>22053000</v>
      </c>
      <c r="H42" s="150">
        <f t="shared" si="1"/>
        <v>264636000</v>
      </c>
    </row>
    <row r="43" spans="1:8" ht="22.5" x14ac:dyDescent="0.55000000000000004">
      <c r="A43" s="144">
        <v>1399</v>
      </c>
      <c r="B43" s="145" t="s">
        <v>310</v>
      </c>
      <c r="C43" s="145" t="s">
        <v>311</v>
      </c>
      <c r="D43" s="151">
        <v>12</v>
      </c>
      <c r="E43" s="147">
        <v>32</v>
      </c>
      <c r="F43" s="148">
        <f t="shared" si="0"/>
        <v>28227727.758244187</v>
      </c>
      <c r="G43" s="149">
        <f t="shared" si="3"/>
        <v>28228000</v>
      </c>
      <c r="H43" s="150">
        <f t="shared" si="1"/>
        <v>338736000</v>
      </c>
    </row>
    <row r="44" spans="1:8" ht="22.5" x14ac:dyDescent="0.55000000000000004">
      <c r="A44" s="144">
        <v>1400</v>
      </c>
      <c r="B44" s="145" t="s">
        <v>312</v>
      </c>
      <c r="C44" s="145" t="s">
        <v>313</v>
      </c>
      <c r="D44" s="151">
        <v>12</v>
      </c>
      <c r="E44" s="147">
        <v>35</v>
      </c>
      <c r="F44" s="148">
        <f t="shared" si="0"/>
        <v>37260600.640882328</v>
      </c>
      <c r="G44" s="149">
        <f t="shared" si="3"/>
        <v>37261000</v>
      </c>
      <c r="H44" s="150">
        <f t="shared" si="1"/>
        <v>447132000</v>
      </c>
    </row>
    <row r="45" spans="1:8" ht="22.5" x14ac:dyDescent="0.55000000000000004">
      <c r="A45" s="144">
        <v>1401</v>
      </c>
      <c r="B45" s="145" t="s">
        <v>314</v>
      </c>
      <c r="C45" s="145" t="s">
        <v>315</v>
      </c>
      <c r="D45" s="151">
        <v>12</v>
      </c>
      <c r="E45" s="147">
        <v>40</v>
      </c>
      <c r="F45" s="148">
        <f t="shared" si="0"/>
        <v>50301810.865191147</v>
      </c>
      <c r="G45" s="149">
        <f t="shared" si="3"/>
        <v>50302000</v>
      </c>
      <c r="H45" s="150">
        <f t="shared" si="1"/>
        <v>603624000</v>
      </c>
    </row>
    <row r="46" spans="1:8" ht="22.5" x14ac:dyDescent="0.55000000000000004">
      <c r="A46" s="144">
        <v>1402</v>
      </c>
      <c r="B46" s="145" t="s">
        <v>316</v>
      </c>
      <c r="C46" s="145" t="s">
        <v>317</v>
      </c>
      <c r="D46" s="151">
        <v>12</v>
      </c>
      <c r="E46" s="147">
        <v>42</v>
      </c>
      <c r="F46" s="148">
        <f>F47/(1+E46/100)</f>
        <v>70422535.211267605</v>
      </c>
      <c r="G46" s="149">
        <f t="shared" si="3"/>
        <v>70423000</v>
      </c>
      <c r="H46" s="150">
        <f t="shared" si="1"/>
        <v>845076000</v>
      </c>
    </row>
    <row r="47" spans="1:8" ht="22.5" x14ac:dyDescent="0.55000000000000004">
      <c r="A47" s="144">
        <v>1403</v>
      </c>
      <c r="B47" s="145" t="s">
        <v>318</v>
      </c>
      <c r="C47" s="151" t="s">
        <v>319</v>
      </c>
      <c r="D47" s="151">
        <v>5</v>
      </c>
      <c r="E47" s="147" t="s">
        <v>104</v>
      </c>
      <c r="F47" s="152">
        <v>100000000</v>
      </c>
      <c r="G47" s="149">
        <f t="shared" si="3"/>
        <v>100000000</v>
      </c>
      <c r="H47" s="150">
        <f t="shared" si="1"/>
        <v>500000000</v>
      </c>
    </row>
    <row r="48" spans="1:8" ht="24.75" thickBot="1" x14ac:dyDescent="0.65">
      <c r="A48" s="308" t="s">
        <v>320</v>
      </c>
      <c r="B48" s="308"/>
      <c r="C48" s="308"/>
      <c r="D48" s="308"/>
      <c r="E48" s="308"/>
      <c r="F48" s="308"/>
      <c r="G48" s="308"/>
      <c r="H48" s="218">
        <f>SUM(H4:H47)</f>
        <v>4459701533.333334</v>
      </c>
    </row>
    <row r="49" spans="8:8" x14ac:dyDescent="0.2">
      <c r="H49" s="140"/>
    </row>
  </sheetData>
  <customSheetViews>
    <customSheetView guid="{2AB27FB0-6750-413F-B436-DA6A7082F863}" showPageBreaks="1" fitToPage="1" printArea="1" topLeftCell="A31">
      <selection activeCell="P4" sqref="P4"/>
      <pageMargins left="0.7" right="0.7" top="0.75" bottom="0.75" header="0.3" footer="0.3"/>
      <pageSetup paperSize="9" scale="71" orientation="portrait" r:id="rId1"/>
    </customSheetView>
  </customSheetViews>
  <mergeCells count="4">
    <mergeCell ref="A1:C1"/>
    <mergeCell ref="D1:E1"/>
    <mergeCell ref="A2:H2"/>
    <mergeCell ref="A48:G48"/>
  </mergeCells>
  <pageMargins left="0.7" right="0.7" top="0.75" bottom="0.75" header="0.3" footer="0.3"/>
  <pageSetup paperSize="9" scale="71" orientation="portrait"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AB7DF5-4160-460F-9907-0B008B00BEB7}">
  <sheetPr>
    <pageSetUpPr fitToPage="1"/>
  </sheetPr>
  <dimension ref="A1:P30"/>
  <sheetViews>
    <sheetView rightToLeft="1" zoomScale="85" zoomScaleNormal="85" workbookViewId="0">
      <selection sqref="A1:O1"/>
    </sheetView>
  </sheetViews>
  <sheetFormatPr defaultRowHeight="14.25" x14ac:dyDescent="0.2"/>
  <cols>
    <col min="1" max="1" width="19.125" customWidth="1"/>
    <col min="2" max="13" width="15.75" customWidth="1"/>
    <col min="14" max="14" width="18" customWidth="1"/>
    <col min="15" max="15" width="16.625" customWidth="1"/>
    <col min="16" max="16" width="9.125" customWidth="1"/>
  </cols>
  <sheetData>
    <row r="1" spans="1:16" ht="40.5" x14ac:dyDescent="0.2">
      <c r="A1" s="309" t="s">
        <v>397</v>
      </c>
      <c r="B1" s="310"/>
      <c r="C1" s="310"/>
      <c r="D1" s="310"/>
      <c r="E1" s="310"/>
      <c r="F1" s="310"/>
      <c r="G1" s="310"/>
      <c r="H1" s="310"/>
      <c r="I1" s="310"/>
      <c r="J1" s="310"/>
      <c r="K1" s="310"/>
      <c r="L1" s="310"/>
      <c r="M1" s="310"/>
      <c r="N1" s="310"/>
      <c r="O1" s="311"/>
    </row>
    <row r="2" spans="1:16" ht="11.25" customHeight="1" x14ac:dyDescent="0.2">
      <c r="H2" s="5"/>
      <c r="I2" s="5"/>
      <c r="J2" s="5"/>
      <c r="K2" s="5"/>
      <c r="L2" s="5"/>
      <c r="M2" s="5"/>
      <c r="N2" s="5"/>
      <c r="O2" s="5"/>
    </row>
    <row r="3" spans="1:16" ht="24.75" customHeight="1" x14ac:dyDescent="0.2">
      <c r="A3" s="312" t="s">
        <v>321</v>
      </c>
      <c r="B3" s="312"/>
      <c r="C3" s="312"/>
      <c r="D3" s="312"/>
      <c r="E3" s="312"/>
      <c r="F3" s="312"/>
      <c r="G3" s="312"/>
      <c r="H3" s="312"/>
      <c r="I3" s="312"/>
      <c r="J3" s="312"/>
      <c r="K3" s="312"/>
      <c r="L3" s="312"/>
      <c r="M3" s="312"/>
      <c r="N3" s="312"/>
      <c r="O3" s="312"/>
    </row>
    <row r="4" spans="1:16" ht="24.75" customHeight="1" x14ac:dyDescent="0.2">
      <c r="A4" s="313" t="s">
        <v>322</v>
      </c>
      <c r="B4" s="314" t="s">
        <v>323</v>
      </c>
      <c r="C4" s="314" t="s">
        <v>324</v>
      </c>
      <c r="D4" s="315" t="s">
        <v>325</v>
      </c>
      <c r="E4" s="315" t="s">
        <v>326</v>
      </c>
      <c r="F4" s="315" t="s">
        <v>327</v>
      </c>
      <c r="G4" s="316" t="s">
        <v>328</v>
      </c>
      <c r="H4" s="316"/>
      <c r="I4" s="316" t="s">
        <v>329</v>
      </c>
      <c r="J4" s="316"/>
      <c r="K4" s="314" t="s">
        <v>7</v>
      </c>
      <c r="L4" s="314" t="s">
        <v>330</v>
      </c>
      <c r="M4" s="315" t="s">
        <v>103</v>
      </c>
      <c r="N4" s="315" t="s">
        <v>331</v>
      </c>
      <c r="O4" s="315" t="s">
        <v>332</v>
      </c>
    </row>
    <row r="5" spans="1:16" ht="27" customHeight="1" x14ac:dyDescent="0.2">
      <c r="A5" s="313"/>
      <c r="B5" s="314"/>
      <c r="C5" s="314"/>
      <c r="D5" s="315"/>
      <c r="E5" s="315"/>
      <c r="F5" s="315"/>
      <c r="G5" s="153" t="s">
        <v>333</v>
      </c>
      <c r="H5" s="153" t="s">
        <v>334</v>
      </c>
      <c r="I5" s="153" t="s">
        <v>333</v>
      </c>
      <c r="J5" s="153" t="s">
        <v>334</v>
      </c>
      <c r="K5" s="314"/>
      <c r="L5" s="314"/>
      <c r="M5" s="315"/>
      <c r="N5" s="315"/>
      <c r="O5" s="315"/>
    </row>
    <row r="6" spans="1:16" ht="21.75" x14ac:dyDescent="0.2">
      <c r="A6" s="154" t="s">
        <v>8</v>
      </c>
      <c r="B6" s="155">
        <v>5</v>
      </c>
      <c r="C6" s="155">
        <v>7</v>
      </c>
      <c r="D6" s="155">
        <v>3.5</v>
      </c>
      <c r="E6" s="155">
        <v>40</v>
      </c>
      <c r="F6" s="156" t="s">
        <v>335</v>
      </c>
      <c r="G6" s="156">
        <v>1</v>
      </c>
      <c r="H6" s="156">
        <v>0</v>
      </c>
      <c r="I6" s="156">
        <v>0</v>
      </c>
      <c r="J6" s="156">
        <v>0</v>
      </c>
      <c r="K6" s="154" t="s">
        <v>33</v>
      </c>
      <c r="L6" s="154" t="s">
        <v>21</v>
      </c>
      <c r="M6" s="154"/>
      <c r="N6" s="157">
        <v>96000000000</v>
      </c>
      <c r="O6" s="157">
        <f>N6/E6</f>
        <v>2400000000</v>
      </c>
    </row>
    <row r="7" spans="1:16" ht="21.75" x14ac:dyDescent="0.2">
      <c r="A7" s="154" t="s">
        <v>9</v>
      </c>
      <c r="B7" s="155">
        <v>4</v>
      </c>
      <c r="C7" s="155">
        <v>6.5</v>
      </c>
      <c r="D7" s="155">
        <v>4.5</v>
      </c>
      <c r="E7" s="155">
        <v>30</v>
      </c>
      <c r="F7" s="156" t="s">
        <v>335</v>
      </c>
      <c r="G7" s="156">
        <v>1</v>
      </c>
      <c r="H7" s="156">
        <v>0</v>
      </c>
      <c r="I7" s="156">
        <v>0</v>
      </c>
      <c r="J7" s="156">
        <v>0</v>
      </c>
      <c r="K7" s="154" t="s">
        <v>33</v>
      </c>
      <c r="L7" s="154" t="s">
        <v>336</v>
      </c>
      <c r="M7" s="154"/>
      <c r="N7" s="157">
        <v>86400000000</v>
      </c>
      <c r="O7" s="157">
        <f t="shared" ref="O7:O8" si="0">N7/E7</f>
        <v>2880000000</v>
      </c>
    </row>
    <row r="8" spans="1:16" ht="21.75" x14ac:dyDescent="0.2">
      <c r="A8" s="154" t="s">
        <v>10</v>
      </c>
      <c r="B8" s="155">
        <v>3.6</v>
      </c>
      <c r="C8" s="155">
        <v>10</v>
      </c>
      <c r="D8" s="155">
        <v>4.2</v>
      </c>
      <c r="E8" s="155">
        <f>B8*C8/0.9</f>
        <v>40</v>
      </c>
      <c r="F8" s="156" t="s">
        <v>335</v>
      </c>
      <c r="G8" s="156">
        <v>1</v>
      </c>
      <c r="H8" s="156">
        <v>0</v>
      </c>
      <c r="I8" s="156">
        <v>0</v>
      </c>
      <c r="J8" s="156">
        <v>0</v>
      </c>
      <c r="K8" s="154" t="s">
        <v>33</v>
      </c>
      <c r="L8" s="154" t="s">
        <v>21</v>
      </c>
      <c r="M8" s="154"/>
      <c r="N8" s="157">
        <v>91200000000</v>
      </c>
      <c r="O8" s="157">
        <f t="shared" si="0"/>
        <v>2280000000</v>
      </c>
    </row>
    <row r="9" spans="1:16" ht="22.5" x14ac:dyDescent="0.2">
      <c r="A9" s="158" t="s">
        <v>337</v>
      </c>
      <c r="B9" s="159">
        <v>3.5</v>
      </c>
      <c r="C9" s="159">
        <v>6</v>
      </c>
      <c r="D9" s="159">
        <v>3.5</v>
      </c>
      <c r="E9" s="159">
        <v>24</v>
      </c>
      <c r="F9" s="160" t="s">
        <v>335</v>
      </c>
      <c r="G9" s="160">
        <v>1</v>
      </c>
      <c r="H9" s="160">
        <v>0</v>
      </c>
      <c r="I9" s="160">
        <v>0</v>
      </c>
      <c r="J9" s="160">
        <v>0</v>
      </c>
      <c r="K9" s="161" t="s">
        <v>33</v>
      </c>
      <c r="L9" s="161" t="s">
        <v>21</v>
      </c>
      <c r="M9" s="161"/>
      <c r="N9" s="162" t="s">
        <v>104</v>
      </c>
      <c r="O9" s="163" t="s">
        <v>104</v>
      </c>
    </row>
    <row r="10" spans="1:16" ht="22.5" x14ac:dyDescent="0.2">
      <c r="A10" s="164" t="s">
        <v>338</v>
      </c>
      <c r="B10" s="165">
        <v>8</v>
      </c>
      <c r="C10" s="165">
        <v>8</v>
      </c>
      <c r="D10" s="165">
        <v>4.5</v>
      </c>
      <c r="E10" s="165">
        <v>72</v>
      </c>
      <c r="F10" s="166" t="s">
        <v>335</v>
      </c>
      <c r="G10" s="166">
        <v>1</v>
      </c>
      <c r="H10" s="166">
        <v>0</v>
      </c>
      <c r="I10" s="166">
        <v>0</v>
      </c>
      <c r="J10" s="166">
        <v>0</v>
      </c>
      <c r="K10" s="167" t="s">
        <v>33</v>
      </c>
      <c r="L10" s="168" t="s">
        <v>137</v>
      </c>
      <c r="M10" s="167"/>
      <c r="N10" s="169" t="s">
        <v>104</v>
      </c>
      <c r="O10" s="170" t="s">
        <v>104</v>
      </c>
    </row>
    <row r="11" spans="1:16" ht="21.75" x14ac:dyDescent="0.2">
      <c r="A11" s="7"/>
      <c r="B11" s="8"/>
      <c r="C11" s="8"/>
      <c r="D11" s="8"/>
      <c r="E11" s="8"/>
      <c r="F11" s="8"/>
      <c r="G11" s="8"/>
      <c r="H11" s="5"/>
      <c r="I11" s="5"/>
      <c r="J11" s="5"/>
      <c r="K11" s="5"/>
      <c r="L11" s="5"/>
      <c r="M11" s="5"/>
      <c r="N11" s="5"/>
      <c r="O11" s="5"/>
    </row>
    <row r="12" spans="1:16" ht="22.5" x14ac:dyDescent="0.2">
      <c r="A12" s="279" t="s">
        <v>339</v>
      </c>
      <c r="B12" s="279"/>
      <c r="C12" s="5"/>
      <c r="D12" s="9"/>
      <c r="E12" s="9"/>
      <c r="F12" s="9"/>
      <c r="G12" s="9"/>
      <c r="H12" s="5"/>
      <c r="I12" s="9"/>
      <c r="J12" s="9"/>
      <c r="K12" s="9"/>
      <c r="L12" s="9"/>
      <c r="M12" s="5"/>
      <c r="N12" s="5"/>
      <c r="O12" s="5"/>
    </row>
    <row r="13" spans="1:16" ht="22.5" customHeight="1" x14ac:dyDescent="0.2">
      <c r="A13" s="293" t="s">
        <v>322</v>
      </c>
      <c r="B13" s="293"/>
      <c r="C13" s="315" t="s">
        <v>340</v>
      </c>
      <c r="D13" s="316" t="s">
        <v>341</v>
      </c>
      <c r="E13" s="316" t="s">
        <v>0</v>
      </c>
      <c r="F13" s="316" t="s">
        <v>342</v>
      </c>
      <c r="G13" s="316" t="s">
        <v>328</v>
      </c>
      <c r="H13" s="316"/>
      <c r="I13" s="316" t="s">
        <v>329</v>
      </c>
      <c r="J13" s="316"/>
      <c r="K13" s="316" t="s">
        <v>1</v>
      </c>
      <c r="L13" s="316" t="s">
        <v>343</v>
      </c>
      <c r="M13" s="316" t="s">
        <v>102</v>
      </c>
      <c r="N13" s="316" t="s">
        <v>2</v>
      </c>
      <c r="O13" s="315" t="s">
        <v>344</v>
      </c>
      <c r="P13" s="322" t="s">
        <v>114</v>
      </c>
    </row>
    <row r="14" spans="1:16" ht="27" customHeight="1" thickBot="1" x14ac:dyDescent="0.25">
      <c r="A14" s="320"/>
      <c r="B14" s="320"/>
      <c r="C14" s="321"/>
      <c r="D14" s="319"/>
      <c r="E14" s="319"/>
      <c r="F14" s="319"/>
      <c r="G14" s="57" t="s">
        <v>345</v>
      </c>
      <c r="H14" s="23" t="s">
        <v>346</v>
      </c>
      <c r="I14" s="57" t="s">
        <v>345</v>
      </c>
      <c r="J14" s="23" t="s">
        <v>346</v>
      </c>
      <c r="K14" s="319"/>
      <c r="L14" s="319"/>
      <c r="M14" s="319"/>
      <c r="N14" s="319"/>
      <c r="O14" s="315"/>
      <c r="P14" s="322"/>
    </row>
    <row r="15" spans="1:16" ht="21.75" x14ac:dyDescent="0.2">
      <c r="A15" s="323" t="s">
        <v>8</v>
      </c>
      <c r="B15" s="324"/>
      <c r="C15" s="25">
        <v>1</v>
      </c>
      <c r="D15" s="25">
        <v>1</v>
      </c>
      <c r="E15" s="25">
        <v>1</v>
      </c>
      <c r="F15" s="25">
        <v>1</v>
      </c>
      <c r="G15" s="25">
        <f>IF(G6&gt;1,0.95/(G6-1)^(1/7),1)</f>
        <v>1</v>
      </c>
      <c r="H15" s="25">
        <v>1</v>
      </c>
      <c r="I15" s="25">
        <f>IF(I6&gt;0,0.95/(I6)^(1/7),1)</f>
        <v>1</v>
      </c>
      <c r="J15" s="25">
        <v>1</v>
      </c>
      <c r="K15" s="25">
        <v>1</v>
      </c>
      <c r="L15" s="26">
        <v>1</v>
      </c>
      <c r="M15" s="26">
        <v>1</v>
      </c>
      <c r="N15" s="25">
        <f>C15*D15*E15*F15*G15*H15*I15*J15*K15*L15*M15</f>
        <v>1</v>
      </c>
      <c r="O15" s="27">
        <f>O6</f>
        <v>2400000000</v>
      </c>
      <c r="P15" s="172"/>
    </row>
    <row r="16" spans="1:16" ht="22.5" thickBot="1" x14ac:dyDescent="0.25">
      <c r="A16" s="325" t="s">
        <v>347</v>
      </c>
      <c r="B16" s="326"/>
      <c r="C16" s="29">
        <f>((B9/C9)/(B6/C6))^(1/7)</f>
        <v>0.9714824863779149</v>
      </c>
      <c r="D16" s="29">
        <f>(D9/D6)^0.25</f>
        <v>1</v>
      </c>
      <c r="E16" s="29">
        <f>(E6/E9)^0.2</f>
        <v>1.1075663432482901</v>
      </c>
      <c r="F16" s="29">
        <v>1</v>
      </c>
      <c r="G16" s="29">
        <f>IF(G9&gt;1,0.95/(G9-1)^(1/7),1)</f>
        <v>1</v>
      </c>
      <c r="H16" s="29">
        <v>1</v>
      </c>
      <c r="I16" s="29">
        <f>IF(I9&gt;0,0.95/(I9)^(1/7),1)</f>
        <v>1</v>
      </c>
      <c r="J16" s="29">
        <v>1</v>
      </c>
      <c r="K16" s="29">
        <v>1</v>
      </c>
      <c r="L16" s="30">
        <v>1</v>
      </c>
      <c r="M16" s="30">
        <v>1</v>
      </c>
      <c r="N16" s="173">
        <f>C16*D16*E16*F16*G16*H16*I16*J16*K16*L16*M16</f>
        <v>1.0759813049673439</v>
      </c>
      <c r="O16" s="31">
        <f>ROUND(N16*O15/N15,-6)</f>
        <v>2582000000</v>
      </c>
      <c r="P16" s="174" t="str">
        <f>IF(AND(O16&lt;=(O$21+2*O$22),O16&gt;=(O$21-2*O$22)),"OK","Outlier")</f>
        <v>OK</v>
      </c>
    </row>
    <row r="17" spans="1:16" ht="21.75" x14ac:dyDescent="0.2">
      <c r="A17" s="327" t="s">
        <v>9</v>
      </c>
      <c r="B17" s="328"/>
      <c r="C17" s="33">
        <v>1</v>
      </c>
      <c r="D17" s="33">
        <v>1</v>
      </c>
      <c r="E17" s="33">
        <v>1</v>
      </c>
      <c r="F17" s="33">
        <v>1</v>
      </c>
      <c r="G17" s="33">
        <f>IF(G7&gt;1,0.95/(G7-1)^(1/7),1)</f>
        <v>1</v>
      </c>
      <c r="H17" s="33">
        <v>1</v>
      </c>
      <c r="I17" s="33">
        <f>IF(I7&gt;0,0.95/(I7)^(1/7),1)</f>
        <v>1</v>
      </c>
      <c r="J17" s="33">
        <v>1</v>
      </c>
      <c r="K17" s="33">
        <v>1</v>
      </c>
      <c r="L17" s="34">
        <v>1.1000000000000001</v>
      </c>
      <c r="M17" s="34">
        <v>1</v>
      </c>
      <c r="N17" s="33">
        <f t="shared" ref="N17:N27" si="1">C17*D17*E17*F17*G17*H17*I17*J17*K17*L17*M17</f>
        <v>1.1000000000000001</v>
      </c>
      <c r="O17" s="35">
        <f>O7</f>
        <v>2880000000</v>
      </c>
      <c r="P17" s="174"/>
    </row>
    <row r="18" spans="1:16" ht="22.5" thickBot="1" x14ac:dyDescent="0.25">
      <c r="A18" s="329" t="s">
        <v>348</v>
      </c>
      <c r="B18" s="330"/>
      <c r="C18" s="37">
        <f>((B9/C9)/(B7/C7))^(1/7)</f>
        <v>0.99238787935415074</v>
      </c>
      <c r="D18" s="37">
        <f>(D9/D7)^0.25</f>
        <v>0.93910441575375248</v>
      </c>
      <c r="E18" s="37">
        <f>(E7/E9)^0.2</f>
        <v>1.0456395525912732</v>
      </c>
      <c r="F18" s="37">
        <v>1</v>
      </c>
      <c r="G18" s="37">
        <f>IF(G9&gt;1,0.95/(G9-1)^(1/7),1)</f>
        <v>1</v>
      </c>
      <c r="H18" s="37">
        <v>1</v>
      </c>
      <c r="I18" s="37">
        <f>IF(I9&gt;0,0.95/(I9)^(1/7),1)</f>
        <v>1</v>
      </c>
      <c r="J18" s="37">
        <v>1</v>
      </c>
      <c r="K18" s="37">
        <v>1</v>
      </c>
      <c r="L18" s="38">
        <v>1</v>
      </c>
      <c r="M18" s="38">
        <v>1</v>
      </c>
      <c r="N18" s="175">
        <f t="shared" si="1"/>
        <v>0.97448988719806962</v>
      </c>
      <c r="O18" s="39">
        <f>ROUND(N18*O17/N17,-6)</f>
        <v>2551000000</v>
      </c>
      <c r="P18" s="174" t="str">
        <f>IF(AND(O18&lt;=(O$21+2*O$22),O18&gt;=(O$21-2*O$22)),"OK","Outlier")</f>
        <v>OK</v>
      </c>
    </row>
    <row r="19" spans="1:16" ht="21.75" x14ac:dyDescent="0.2">
      <c r="A19" s="317" t="s">
        <v>10</v>
      </c>
      <c r="B19" s="318"/>
      <c r="C19" s="176">
        <v>1</v>
      </c>
      <c r="D19" s="176">
        <v>1</v>
      </c>
      <c r="E19" s="176">
        <v>1</v>
      </c>
      <c r="F19" s="176">
        <v>1</v>
      </c>
      <c r="G19" s="176">
        <f>IF(G8&gt;1,0.95/(G8-1)^(1/7),1)</f>
        <v>1</v>
      </c>
      <c r="H19" s="176">
        <v>1</v>
      </c>
      <c r="I19" s="176">
        <f>IF(I8&gt;0,0.95/(I8)^(1/7),1)</f>
        <v>1</v>
      </c>
      <c r="J19" s="176">
        <v>1</v>
      </c>
      <c r="K19" s="176">
        <v>1</v>
      </c>
      <c r="L19" s="177">
        <v>1</v>
      </c>
      <c r="M19" s="177">
        <v>1</v>
      </c>
      <c r="N19" s="176">
        <f t="shared" si="1"/>
        <v>1</v>
      </c>
      <c r="O19" s="178">
        <f>O8</f>
        <v>2280000000</v>
      </c>
      <c r="P19" s="174"/>
    </row>
    <row r="20" spans="1:16" ht="22.5" thickBot="1" x14ac:dyDescent="0.25">
      <c r="A20" s="331" t="s">
        <v>349</v>
      </c>
      <c r="B20" s="332"/>
      <c r="C20" s="179">
        <f>((B9/C9)/(B8/C8))^(1/7)</f>
        <v>1.0713833651971729</v>
      </c>
      <c r="D20" s="179">
        <f>(D9/D8)^0.25</f>
        <v>0.95544279220436679</v>
      </c>
      <c r="E20" s="179">
        <f>(E8/E9)^0.2</f>
        <v>1.1075663432482901</v>
      </c>
      <c r="F20" s="179">
        <v>1</v>
      </c>
      <c r="G20" s="179">
        <f>IF(G9&gt;1,0.95/(G9-1)^(1/7),1)</f>
        <v>1</v>
      </c>
      <c r="H20" s="179">
        <v>1</v>
      </c>
      <c r="I20" s="179">
        <f>IF(I9&gt;0,0.95/(I9)^(1/7),1)</f>
        <v>1</v>
      </c>
      <c r="J20" s="179">
        <v>1</v>
      </c>
      <c r="K20" s="179">
        <v>1</v>
      </c>
      <c r="L20" s="180">
        <v>1</v>
      </c>
      <c r="M20" s="180">
        <v>1</v>
      </c>
      <c r="N20" s="181">
        <f t="shared" si="1"/>
        <v>1.1337553186850613</v>
      </c>
      <c r="O20" s="182">
        <f>ROUND(N20*O19/N19,-6)</f>
        <v>2585000000</v>
      </c>
      <c r="P20" s="174" t="str">
        <f>IF(AND(O20&lt;=(O$21+2*O$22),O20&gt;=(O$21-2*O$22)),"OK","Outlier")</f>
        <v>OK</v>
      </c>
    </row>
    <row r="21" spans="1:16" ht="24" x14ac:dyDescent="0.2">
      <c r="A21" s="7"/>
      <c r="B21" s="7"/>
      <c r="C21" s="183"/>
      <c r="D21" s="183"/>
      <c r="E21" s="183"/>
      <c r="F21" s="183"/>
      <c r="G21" s="183"/>
      <c r="H21" s="183"/>
      <c r="I21" s="183"/>
      <c r="J21" s="183"/>
      <c r="K21" s="183"/>
      <c r="L21" s="333" t="s">
        <v>423</v>
      </c>
      <c r="M21" s="333"/>
      <c r="N21" s="333"/>
      <c r="O21" s="105">
        <f>ROUND(AVERAGE(O16,O18,O20),-6)</f>
        <v>2573000000</v>
      </c>
    </row>
    <row r="22" spans="1:16" ht="24" x14ac:dyDescent="0.2">
      <c r="A22" s="7"/>
      <c r="B22" s="7"/>
      <c r="C22" s="183"/>
      <c r="D22" s="183"/>
      <c r="E22" s="183"/>
      <c r="F22" s="183"/>
      <c r="G22" s="183"/>
      <c r="H22" s="183"/>
      <c r="I22" s="183"/>
      <c r="J22" s="183"/>
      <c r="K22" s="183"/>
      <c r="L22" s="333" t="s">
        <v>350</v>
      </c>
      <c r="M22" s="333"/>
      <c r="N22" s="333"/>
      <c r="O22" s="105">
        <f>ROUND(_xlfn.STDEV.S(O16,O18,O20),-3)</f>
        <v>18824000</v>
      </c>
    </row>
    <row r="23" spans="1:16" ht="22.5" x14ac:dyDescent="0.2">
      <c r="A23" s="279" t="s">
        <v>418</v>
      </c>
      <c r="B23" s="279"/>
      <c r="C23" s="183"/>
      <c r="D23" s="183"/>
      <c r="E23" s="183"/>
      <c r="F23" s="183"/>
      <c r="G23" s="183"/>
      <c r="H23" s="183"/>
      <c r="I23" s="183"/>
      <c r="J23" s="183"/>
      <c r="K23" s="183"/>
      <c r="L23" s="184"/>
      <c r="M23" s="184"/>
      <c r="N23" s="183"/>
      <c r="O23" s="185"/>
    </row>
    <row r="24" spans="1:16" ht="21.75" x14ac:dyDescent="0.2">
      <c r="A24" s="293" t="s">
        <v>322</v>
      </c>
      <c r="B24" s="293"/>
      <c r="C24" s="315" t="s">
        <v>340</v>
      </c>
      <c r="D24" s="316" t="s">
        <v>341</v>
      </c>
      <c r="E24" s="316" t="s">
        <v>0</v>
      </c>
      <c r="F24" s="316" t="s">
        <v>342</v>
      </c>
      <c r="G24" s="316" t="s">
        <v>328</v>
      </c>
      <c r="H24" s="316"/>
      <c r="I24" s="316" t="s">
        <v>329</v>
      </c>
      <c r="J24" s="316"/>
      <c r="K24" s="316" t="s">
        <v>1</v>
      </c>
      <c r="L24" s="316" t="s">
        <v>343</v>
      </c>
      <c r="M24" s="316" t="s">
        <v>102</v>
      </c>
      <c r="N24" s="316" t="s">
        <v>2</v>
      </c>
      <c r="O24" s="315" t="s">
        <v>344</v>
      </c>
    </row>
    <row r="25" spans="1:16" ht="22.5" thickBot="1" x14ac:dyDescent="0.25">
      <c r="A25" s="320"/>
      <c r="B25" s="320"/>
      <c r="C25" s="321"/>
      <c r="D25" s="319"/>
      <c r="E25" s="319"/>
      <c r="F25" s="319"/>
      <c r="G25" s="57" t="s">
        <v>345</v>
      </c>
      <c r="H25" s="23" t="s">
        <v>346</v>
      </c>
      <c r="I25" s="57" t="s">
        <v>345</v>
      </c>
      <c r="J25" s="23" t="s">
        <v>346</v>
      </c>
      <c r="K25" s="319"/>
      <c r="L25" s="319"/>
      <c r="M25" s="319"/>
      <c r="N25" s="319"/>
      <c r="O25" s="315"/>
    </row>
    <row r="26" spans="1:16" ht="22.5" x14ac:dyDescent="0.2">
      <c r="A26" s="335" t="s">
        <v>351</v>
      </c>
      <c r="B26" s="336"/>
      <c r="C26" s="113">
        <v>1</v>
      </c>
      <c r="D26" s="113">
        <v>1</v>
      </c>
      <c r="E26" s="113">
        <v>1</v>
      </c>
      <c r="F26" s="113">
        <v>1</v>
      </c>
      <c r="G26" s="113">
        <f>IF(G9&gt;1,0.95/(G9-1)^(1/7),1)</f>
        <v>1</v>
      </c>
      <c r="H26" s="113">
        <v>1</v>
      </c>
      <c r="I26" s="113">
        <f>IF(I9&gt;0,0.95/(I9)^(1/7),1)</f>
        <v>1</v>
      </c>
      <c r="J26" s="113">
        <v>1</v>
      </c>
      <c r="K26" s="113">
        <v>1</v>
      </c>
      <c r="L26" s="114">
        <v>1</v>
      </c>
      <c r="M26" s="114">
        <v>1</v>
      </c>
      <c r="N26" s="113">
        <f t="shared" si="1"/>
        <v>1</v>
      </c>
      <c r="O26" s="115">
        <f>ROUND(AVERAGE(O16,O18,O20),-6)</f>
        <v>2573000000</v>
      </c>
    </row>
    <row r="27" spans="1:16" ht="23.25" thickBot="1" x14ac:dyDescent="0.25">
      <c r="A27" s="337" t="s">
        <v>338</v>
      </c>
      <c r="B27" s="338"/>
      <c r="C27" s="116">
        <f>((B10/C10)/(B9/C9))^(1/7)</f>
        <v>1.0800415364847447</v>
      </c>
      <c r="D27" s="116">
        <f>(D10/D9)^0.25</f>
        <v>1.0648443168030159</v>
      </c>
      <c r="E27" s="116">
        <f>(E9/E10)^0.2</f>
        <v>0.8027415617602307</v>
      </c>
      <c r="F27" s="116">
        <v>1</v>
      </c>
      <c r="G27" s="116">
        <f>IF(G10&gt;1,0.95/(G10-1)^(1/7),1)</f>
        <v>1</v>
      </c>
      <c r="H27" s="116">
        <v>1</v>
      </c>
      <c r="I27" s="116">
        <f>IF(I10&gt;0,0.95/(I10)^(1/7),1)</f>
        <v>1</v>
      </c>
      <c r="J27" s="116">
        <v>1</v>
      </c>
      <c r="K27" s="116">
        <v>1</v>
      </c>
      <c r="L27" s="120">
        <v>1.05</v>
      </c>
      <c r="M27" s="120">
        <v>1</v>
      </c>
      <c r="N27" s="186">
        <f t="shared" si="1"/>
        <v>0.96937457217810952</v>
      </c>
      <c r="O27" s="187">
        <f>ROUND(O26*N27/N26,-6)</f>
        <v>2494000000</v>
      </c>
    </row>
    <row r="28" spans="1:16" ht="22.5" x14ac:dyDescent="0.4">
      <c r="A28" s="1"/>
      <c r="B28" s="1"/>
      <c r="C28" s="1"/>
      <c r="D28" s="1"/>
      <c r="E28" s="1"/>
      <c r="F28" s="1"/>
      <c r="G28" s="1"/>
      <c r="H28" s="1"/>
      <c r="I28" s="1"/>
      <c r="J28" s="1"/>
      <c r="K28" s="1"/>
      <c r="L28" s="280" t="s">
        <v>352</v>
      </c>
      <c r="M28" s="280"/>
      <c r="N28" s="280"/>
      <c r="O28" s="188">
        <f>O27*E10</f>
        <v>179568000000</v>
      </c>
    </row>
    <row r="29" spans="1:16" ht="22.5" x14ac:dyDescent="0.55000000000000004">
      <c r="A29" s="339" t="s">
        <v>353</v>
      </c>
      <c r="B29" s="339"/>
      <c r="C29" s="339"/>
      <c r="D29" s="339"/>
      <c r="E29" s="339"/>
      <c r="F29" s="339"/>
      <c r="G29" s="339"/>
      <c r="H29" s="339"/>
      <c r="I29" s="339"/>
      <c r="J29" s="339"/>
      <c r="K29" s="339"/>
      <c r="L29" s="339" t="s">
        <v>105</v>
      </c>
      <c r="M29" s="339"/>
      <c r="N29" s="339"/>
      <c r="O29" s="189">
        <v>1</v>
      </c>
    </row>
    <row r="30" spans="1:16" ht="22.5" x14ac:dyDescent="0.55000000000000004">
      <c r="L30" s="334" t="s">
        <v>354</v>
      </c>
      <c r="M30" s="334"/>
      <c r="N30" s="334"/>
      <c r="O30" s="190">
        <f>O28*O29</f>
        <v>179568000000</v>
      </c>
    </row>
  </sheetData>
  <customSheetViews>
    <customSheetView guid="{2AB27FB0-6750-413F-B436-DA6A7082F863}" scale="85" fitToPage="1">
      <selection activeCell="D31" sqref="D31"/>
      <pageMargins left="0.7" right="0.7" top="0.75" bottom="0.75" header="0.3" footer="0.3"/>
      <pageSetup paperSize="9" scale="36" orientation="portrait" r:id="rId1"/>
    </customSheetView>
  </customSheetViews>
  <mergeCells count="56">
    <mergeCell ref="A26:B26"/>
    <mergeCell ref="A27:B27"/>
    <mergeCell ref="L28:N28"/>
    <mergeCell ref="A29:K29"/>
    <mergeCell ref="L29:N29"/>
    <mergeCell ref="L30:N30"/>
    <mergeCell ref="I24:J24"/>
    <mergeCell ref="K24:K25"/>
    <mergeCell ref="L24:L25"/>
    <mergeCell ref="M24:M25"/>
    <mergeCell ref="N24:N25"/>
    <mergeCell ref="O24:O25"/>
    <mergeCell ref="A20:B20"/>
    <mergeCell ref="L21:N21"/>
    <mergeCell ref="L22:N22"/>
    <mergeCell ref="A23:B23"/>
    <mergeCell ref="A24:B25"/>
    <mergeCell ref="C24:C25"/>
    <mergeCell ref="D24:D25"/>
    <mergeCell ref="E24:E25"/>
    <mergeCell ref="F24:F25"/>
    <mergeCell ref="G24:H24"/>
    <mergeCell ref="P13:P14"/>
    <mergeCell ref="A15:B15"/>
    <mergeCell ref="A16:B16"/>
    <mergeCell ref="A17:B17"/>
    <mergeCell ref="A18:B18"/>
    <mergeCell ref="N13:N14"/>
    <mergeCell ref="O13:O14"/>
    <mergeCell ref="A19:B19"/>
    <mergeCell ref="I13:J13"/>
    <mergeCell ref="K13:K14"/>
    <mergeCell ref="L13:L14"/>
    <mergeCell ref="M13:M14"/>
    <mergeCell ref="A13:B14"/>
    <mergeCell ref="C13:C14"/>
    <mergeCell ref="D13:D14"/>
    <mergeCell ref="E13:E14"/>
    <mergeCell ref="F13:F14"/>
    <mergeCell ref="G13:H13"/>
    <mergeCell ref="A12:B12"/>
    <mergeCell ref="A1:O1"/>
    <mergeCell ref="A3:O3"/>
    <mergeCell ref="A4:A5"/>
    <mergeCell ref="B4:B5"/>
    <mergeCell ref="C4:C5"/>
    <mergeCell ref="D4:D5"/>
    <mergeCell ref="E4:E5"/>
    <mergeCell ref="F4:F5"/>
    <mergeCell ref="G4:H4"/>
    <mergeCell ref="I4:J4"/>
    <mergeCell ref="K4:K5"/>
    <mergeCell ref="L4:L5"/>
    <mergeCell ref="M4:M5"/>
    <mergeCell ref="N4:N5"/>
    <mergeCell ref="O4:O5"/>
  </mergeCells>
  <conditionalFormatting sqref="P15:P20">
    <cfRule type="containsText" dxfId="2" priority="1" operator="containsText" text="OK">
      <formula>NOT(ISERROR(SEARCH("OK",P15)))</formula>
    </cfRule>
  </conditionalFormatting>
  <pageMargins left="0.7" right="0.7" top="0.75" bottom="0.75" header="0.3" footer="0.3"/>
  <pageSetup paperSize="9" scale="36" orientation="portrait" r:id="rId2"/>
  <ignoredErrors>
    <ignoredError sqref="O17 O19" formula="1"/>
  </ignoredError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E7DA1A-EEE0-48BA-A9F4-E9F88FBF5906}">
  <sheetPr>
    <pageSetUpPr fitToPage="1"/>
  </sheetPr>
  <dimension ref="A1:P31"/>
  <sheetViews>
    <sheetView rightToLeft="1" zoomScale="85" zoomScaleNormal="85" workbookViewId="0">
      <selection sqref="A1:O1"/>
    </sheetView>
  </sheetViews>
  <sheetFormatPr defaultRowHeight="14.25" x14ac:dyDescent="0.2"/>
  <cols>
    <col min="1" max="1" width="19.125" customWidth="1"/>
    <col min="2" max="13" width="15.75" customWidth="1"/>
    <col min="14" max="14" width="18" customWidth="1"/>
    <col min="15" max="15" width="16.625" customWidth="1"/>
    <col min="16" max="16" width="9.125" customWidth="1"/>
  </cols>
  <sheetData>
    <row r="1" spans="1:16" ht="40.5" x14ac:dyDescent="0.2">
      <c r="A1" s="309" t="s">
        <v>414</v>
      </c>
      <c r="B1" s="310"/>
      <c r="C1" s="310"/>
      <c r="D1" s="310"/>
      <c r="E1" s="310"/>
      <c r="F1" s="310"/>
      <c r="G1" s="310"/>
      <c r="H1" s="310"/>
      <c r="I1" s="310"/>
      <c r="J1" s="310"/>
      <c r="K1" s="310"/>
      <c r="L1" s="310"/>
      <c r="M1" s="310"/>
      <c r="N1" s="310"/>
      <c r="O1" s="311"/>
    </row>
    <row r="2" spans="1:16" ht="11.25" customHeight="1" x14ac:dyDescent="0.2">
      <c r="H2" s="5"/>
      <c r="I2" s="5"/>
      <c r="J2" s="5"/>
      <c r="K2" s="5"/>
      <c r="L2" s="5"/>
      <c r="M2" s="5"/>
      <c r="N2" s="5"/>
      <c r="O2" s="5"/>
    </row>
    <row r="3" spans="1:16" ht="24.75" customHeight="1" x14ac:dyDescent="0.2">
      <c r="A3" s="312" t="s">
        <v>321</v>
      </c>
      <c r="B3" s="312"/>
      <c r="C3" s="312"/>
      <c r="D3" s="312"/>
      <c r="E3" s="312"/>
      <c r="F3" s="312"/>
      <c r="G3" s="312"/>
      <c r="H3" s="312"/>
      <c r="I3" s="312"/>
      <c r="J3" s="312"/>
      <c r="K3" s="312"/>
      <c r="L3" s="312"/>
      <c r="M3" s="312"/>
      <c r="N3" s="312"/>
      <c r="O3" s="312"/>
    </row>
    <row r="4" spans="1:16" ht="24.75" customHeight="1" x14ac:dyDescent="0.2">
      <c r="A4" s="313" t="s">
        <v>322</v>
      </c>
      <c r="B4" s="314" t="s">
        <v>323</v>
      </c>
      <c r="C4" s="314" t="s">
        <v>324</v>
      </c>
      <c r="D4" s="315" t="s">
        <v>325</v>
      </c>
      <c r="E4" s="315" t="s">
        <v>415</v>
      </c>
      <c r="F4" s="315" t="s">
        <v>327</v>
      </c>
      <c r="G4" s="316" t="s">
        <v>328</v>
      </c>
      <c r="H4" s="316"/>
      <c r="I4" s="316" t="s">
        <v>329</v>
      </c>
      <c r="J4" s="316"/>
      <c r="K4" s="314" t="s">
        <v>7</v>
      </c>
      <c r="L4" s="314" t="s">
        <v>330</v>
      </c>
      <c r="M4" s="315" t="s">
        <v>103</v>
      </c>
      <c r="N4" s="315" t="s">
        <v>369</v>
      </c>
      <c r="O4" s="315" t="s">
        <v>416</v>
      </c>
    </row>
    <row r="5" spans="1:16" ht="27" customHeight="1" x14ac:dyDescent="0.2">
      <c r="A5" s="313"/>
      <c r="B5" s="314"/>
      <c r="C5" s="314"/>
      <c r="D5" s="315"/>
      <c r="E5" s="315"/>
      <c r="F5" s="315"/>
      <c r="G5" s="153" t="s">
        <v>333</v>
      </c>
      <c r="H5" s="153" t="s">
        <v>334</v>
      </c>
      <c r="I5" s="153" t="s">
        <v>333</v>
      </c>
      <c r="J5" s="153" t="s">
        <v>334</v>
      </c>
      <c r="K5" s="314"/>
      <c r="L5" s="314"/>
      <c r="M5" s="315"/>
      <c r="N5" s="315"/>
      <c r="O5" s="315"/>
    </row>
    <row r="6" spans="1:16" ht="21.75" x14ac:dyDescent="0.2">
      <c r="A6" s="154" t="s">
        <v>8</v>
      </c>
      <c r="B6" s="155">
        <v>5</v>
      </c>
      <c r="C6" s="155">
        <v>7</v>
      </c>
      <c r="D6" s="155">
        <v>3.5</v>
      </c>
      <c r="E6" s="155">
        <f>B6*C6</f>
        <v>35</v>
      </c>
      <c r="F6" s="156" t="s">
        <v>335</v>
      </c>
      <c r="G6" s="156">
        <v>1</v>
      </c>
      <c r="H6" s="156">
        <v>0</v>
      </c>
      <c r="I6" s="156">
        <v>0</v>
      </c>
      <c r="J6" s="156">
        <v>0</v>
      </c>
      <c r="K6" s="154" t="s">
        <v>33</v>
      </c>
      <c r="L6" s="154" t="s">
        <v>21</v>
      </c>
      <c r="M6" s="154"/>
      <c r="N6" s="157">
        <v>70000000000</v>
      </c>
      <c r="O6" s="157">
        <f>N6/E6</f>
        <v>2000000000</v>
      </c>
    </row>
    <row r="7" spans="1:16" ht="21.75" x14ac:dyDescent="0.2">
      <c r="A7" s="154" t="s">
        <v>9</v>
      </c>
      <c r="B7" s="155">
        <v>4</v>
      </c>
      <c r="C7" s="155">
        <v>6.5</v>
      </c>
      <c r="D7" s="155">
        <v>4.5</v>
      </c>
      <c r="E7" s="155">
        <f>B7*C7</f>
        <v>26</v>
      </c>
      <c r="F7" s="156" t="s">
        <v>335</v>
      </c>
      <c r="G7" s="156">
        <v>1</v>
      </c>
      <c r="H7" s="156">
        <v>0</v>
      </c>
      <c r="I7" s="156">
        <v>0</v>
      </c>
      <c r="J7" s="156">
        <v>0</v>
      </c>
      <c r="K7" s="154" t="s">
        <v>33</v>
      </c>
      <c r="L7" s="154" t="s">
        <v>336</v>
      </c>
      <c r="M7" s="154"/>
      <c r="N7" s="157">
        <v>62400000000</v>
      </c>
      <c r="O7" s="157">
        <f t="shared" ref="O7:O8" si="0">N7/E7</f>
        <v>2400000000</v>
      </c>
    </row>
    <row r="8" spans="1:16" ht="21.75" x14ac:dyDescent="0.2">
      <c r="A8" s="154" t="s">
        <v>10</v>
      </c>
      <c r="B8" s="155">
        <v>3.6</v>
      </c>
      <c r="C8" s="155">
        <v>10</v>
      </c>
      <c r="D8" s="155">
        <v>4.2</v>
      </c>
      <c r="E8" s="155">
        <f>B8*C8</f>
        <v>36</v>
      </c>
      <c r="F8" s="156" t="s">
        <v>335</v>
      </c>
      <c r="G8" s="156">
        <v>1</v>
      </c>
      <c r="H8" s="156">
        <v>0</v>
      </c>
      <c r="I8" s="156">
        <v>0</v>
      </c>
      <c r="J8" s="156">
        <v>0</v>
      </c>
      <c r="K8" s="154" t="s">
        <v>33</v>
      </c>
      <c r="L8" s="154" t="s">
        <v>21</v>
      </c>
      <c r="M8" s="154"/>
      <c r="N8" s="157">
        <v>64800000000</v>
      </c>
      <c r="O8" s="157">
        <f t="shared" si="0"/>
        <v>1800000000</v>
      </c>
    </row>
    <row r="9" spans="1:16" ht="22.5" x14ac:dyDescent="0.2">
      <c r="A9" s="158" t="s">
        <v>337</v>
      </c>
      <c r="B9" s="159">
        <v>3.5</v>
      </c>
      <c r="C9" s="159">
        <v>6</v>
      </c>
      <c r="D9" s="159">
        <v>3.5</v>
      </c>
      <c r="E9" s="159">
        <f>B9*C9</f>
        <v>21</v>
      </c>
      <c r="F9" s="160" t="s">
        <v>335</v>
      </c>
      <c r="G9" s="160">
        <v>1</v>
      </c>
      <c r="H9" s="160">
        <v>0</v>
      </c>
      <c r="I9" s="160">
        <v>0</v>
      </c>
      <c r="J9" s="160">
        <v>0</v>
      </c>
      <c r="K9" s="161" t="s">
        <v>33</v>
      </c>
      <c r="L9" s="161" t="s">
        <v>21</v>
      </c>
      <c r="M9" s="161"/>
      <c r="N9" s="162" t="s">
        <v>104</v>
      </c>
      <c r="O9" s="163" t="s">
        <v>104</v>
      </c>
    </row>
    <row r="10" spans="1:16" ht="22.5" x14ac:dyDescent="0.2">
      <c r="A10" s="164" t="s">
        <v>338</v>
      </c>
      <c r="B10" s="165">
        <v>8</v>
      </c>
      <c r="C10" s="165">
        <v>8</v>
      </c>
      <c r="D10" s="165">
        <v>4.5</v>
      </c>
      <c r="E10" s="165">
        <f>B10*C10</f>
        <v>64</v>
      </c>
      <c r="F10" s="166" t="s">
        <v>335</v>
      </c>
      <c r="G10" s="166">
        <v>1</v>
      </c>
      <c r="H10" s="166">
        <v>0</v>
      </c>
      <c r="I10" s="166">
        <v>0</v>
      </c>
      <c r="J10" s="166">
        <v>0</v>
      </c>
      <c r="K10" s="167" t="s">
        <v>33</v>
      </c>
      <c r="L10" s="168" t="s">
        <v>137</v>
      </c>
      <c r="M10" s="167"/>
      <c r="N10" s="169" t="s">
        <v>104</v>
      </c>
      <c r="O10" s="170" t="s">
        <v>104</v>
      </c>
    </row>
    <row r="11" spans="1:16" ht="21.75" x14ac:dyDescent="0.2">
      <c r="A11" s="7"/>
      <c r="B11" s="8"/>
      <c r="C11" s="8"/>
      <c r="D11" s="8"/>
      <c r="E11" s="8"/>
      <c r="F11" s="8"/>
      <c r="G11" s="8"/>
      <c r="H11" s="5"/>
      <c r="I11" s="5"/>
      <c r="J11" s="5"/>
      <c r="K11" s="5"/>
      <c r="L11" s="5"/>
      <c r="M11" s="5"/>
      <c r="N11" s="5"/>
      <c r="O11" s="5"/>
    </row>
    <row r="12" spans="1:16" ht="22.5" x14ac:dyDescent="0.2">
      <c r="A12" s="279" t="s">
        <v>378</v>
      </c>
      <c r="B12" s="279"/>
      <c r="C12" s="5"/>
      <c r="D12" s="9"/>
      <c r="E12" s="9"/>
      <c r="F12" s="9"/>
      <c r="G12" s="9"/>
      <c r="H12" s="5"/>
      <c r="I12" s="9"/>
      <c r="J12" s="9"/>
      <c r="K12" s="9"/>
      <c r="L12" s="9"/>
      <c r="M12" s="5"/>
      <c r="N12" s="5"/>
      <c r="O12" s="5"/>
    </row>
    <row r="13" spans="1:16" ht="22.5" customHeight="1" x14ac:dyDescent="0.2">
      <c r="A13" s="293" t="s">
        <v>322</v>
      </c>
      <c r="B13" s="293"/>
      <c r="C13" s="315" t="s">
        <v>340</v>
      </c>
      <c r="D13" s="316" t="s">
        <v>341</v>
      </c>
      <c r="E13" s="316" t="s">
        <v>0</v>
      </c>
      <c r="F13" s="316" t="s">
        <v>342</v>
      </c>
      <c r="G13" s="316" t="s">
        <v>328</v>
      </c>
      <c r="H13" s="316"/>
      <c r="I13" s="316" t="s">
        <v>329</v>
      </c>
      <c r="J13" s="316"/>
      <c r="K13" s="316" t="s">
        <v>1</v>
      </c>
      <c r="L13" s="316" t="s">
        <v>343</v>
      </c>
      <c r="M13" s="316" t="s">
        <v>102</v>
      </c>
      <c r="N13" s="316" t="s">
        <v>2</v>
      </c>
      <c r="O13" s="315" t="s">
        <v>377</v>
      </c>
      <c r="P13" s="322" t="s">
        <v>114</v>
      </c>
    </row>
    <row r="14" spans="1:16" ht="27" customHeight="1" thickBot="1" x14ac:dyDescent="0.25">
      <c r="A14" s="320"/>
      <c r="B14" s="320"/>
      <c r="C14" s="321"/>
      <c r="D14" s="319"/>
      <c r="E14" s="319"/>
      <c r="F14" s="319"/>
      <c r="G14" s="57" t="s">
        <v>345</v>
      </c>
      <c r="H14" s="23" t="s">
        <v>346</v>
      </c>
      <c r="I14" s="57" t="s">
        <v>345</v>
      </c>
      <c r="J14" s="23" t="s">
        <v>346</v>
      </c>
      <c r="K14" s="319"/>
      <c r="L14" s="319"/>
      <c r="M14" s="319"/>
      <c r="N14" s="319"/>
      <c r="O14" s="315"/>
      <c r="P14" s="322"/>
    </row>
    <row r="15" spans="1:16" ht="21.75" x14ac:dyDescent="0.2">
      <c r="A15" s="323" t="s">
        <v>8</v>
      </c>
      <c r="B15" s="324"/>
      <c r="C15" s="25">
        <v>1</v>
      </c>
      <c r="D15" s="25">
        <v>1</v>
      </c>
      <c r="E15" s="25">
        <v>1</v>
      </c>
      <c r="F15" s="25">
        <v>1</v>
      </c>
      <c r="G15" s="25">
        <f>IF(G6&gt;1,0.95/(G6-1)^(1/7),1)</f>
        <v>1</v>
      </c>
      <c r="H15" s="25">
        <v>1</v>
      </c>
      <c r="I15" s="25">
        <f>IF(I6&gt;0,0.95/(I6)^(1/7),1)</f>
        <v>1</v>
      </c>
      <c r="J15" s="25">
        <v>1</v>
      </c>
      <c r="K15" s="25">
        <v>1</v>
      </c>
      <c r="L15" s="26">
        <v>1</v>
      </c>
      <c r="M15" s="26">
        <v>1</v>
      </c>
      <c r="N15" s="25">
        <f>C15*D15*E15*F15*G15*H15*I15*J15*K15*L15*M15</f>
        <v>1</v>
      </c>
      <c r="O15" s="27">
        <f>O6</f>
        <v>2000000000</v>
      </c>
      <c r="P15" s="172"/>
    </row>
    <row r="16" spans="1:16" ht="22.5" thickBot="1" x14ac:dyDescent="0.25">
      <c r="A16" s="325" t="s">
        <v>347</v>
      </c>
      <c r="B16" s="326"/>
      <c r="C16" s="29">
        <f>((B9/C9)/(B6/C6))^(1/7)</f>
        <v>0.9714824863779149</v>
      </c>
      <c r="D16" s="29">
        <f>(D9/D6)^0.25</f>
        <v>1</v>
      </c>
      <c r="E16" s="29">
        <f>(E6/E9)^0.2</f>
        <v>1.1075663432482901</v>
      </c>
      <c r="F16" s="29">
        <v>1</v>
      </c>
      <c r="G16" s="29">
        <f>IF(G9&gt;1,0.95/(G9-1)^(1/7),1)</f>
        <v>1</v>
      </c>
      <c r="H16" s="29">
        <v>1</v>
      </c>
      <c r="I16" s="29">
        <f>IF(I9&gt;0,0.95/(I9)^(1/7),1)</f>
        <v>1</v>
      </c>
      <c r="J16" s="29">
        <v>1</v>
      </c>
      <c r="K16" s="29">
        <v>1</v>
      </c>
      <c r="L16" s="30">
        <v>1</v>
      </c>
      <c r="M16" s="30">
        <v>1</v>
      </c>
      <c r="N16" s="173">
        <f>C16*D16*E16*F16*G16*H16*I16*J16*K16*L16*M16</f>
        <v>1.0759813049673439</v>
      </c>
      <c r="O16" s="31">
        <f>ROUND(N16*O15/N15,-6)</f>
        <v>2152000000</v>
      </c>
      <c r="P16" s="174" t="str">
        <f>IF(AND(O16&lt;=(O$21+2*O$22),O16&gt;=(O$21-2*O$22)),"OK","Outlier")</f>
        <v>OK</v>
      </c>
    </row>
    <row r="17" spans="1:16" ht="21.75" x14ac:dyDescent="0.2">
      <c r="A17" s="327" t="s">
        <v>9</v>
      </c>
      <c r="B17" s="328"/>
      <c r="C17" s="33">
        <v>1</v>
      </c>
      <c r="D17" s="33">
        <v>1</v>
      </c>
      <c r="E17" s="33">
        <v>1</v>
      </c>
      <c r="F17" s="33">
        <v>1</v>
      </c>
      <c r="G17" s="33">
        <f>IF(G7&gt;1,0.95/(G7-1)^(1/7),1)</f>
        <v>1</v>
      </c>
      <c r="H17" s="33">
        <v>1</v>
      </c>
      <c r="I17" s="33">
        <f>IF(I7&gt;0,0.95/(I7)^(1/7),1)</f>
        <v>1</v>
      </c>
      <c r="J17" s="33">
        <v>1</v>
      </c>
      <c r="K17" s="33">
        <v>1</v>
      </c>
      <c r="L17" s="34">
        <v>1.1000000000000001</v>
      </c>
      <c r="M17" s="34">
        <v>1</v>
      </c>
      <c r="N17" s="33">
        <f t="shared" ref="N17:N27" si="1">C17*D17*E17*F17*G17*H17*I17*J17*K17*L17*M17</f>
        <v>1.1000000000000001</v>
      </c>
      <c r="O17" s="35">
        <f>O7</f>
        <v>2400000000</v>
      </c>
      <c r="P17" s="174"/>
    </row>
    <row r="18" spans="1:16" ht="22.5" thickBot="1" x14ac:dyDescent="0.25">
      <c r="A18" s="329" t="s">
        <v>348</v>
      </c>
      <c r="B18" s="330"/>
      <c r="C18" s="37">
        <f>((B9/C9)/(B7/C7))^(1/7)</f>
        <v>0.99238787935415074</v>
      </c>
      <c r="D18" s="37">
        <f>(D9/D7)^0.25</f>
        <v>0.93910441575375248</v>
      </c>
      <c r="E18" s="37">
        <f>(E7/E9)^0.2</f>
        <v>1.0436402271504359</v>
      </c>
      <c r="F18" s="37">
        <v>1</v>
      </c>
      <c r="G18" s="37">
        <f>IF(G9&gt;1,0.95/(G9-1)^(1/7),1)</f>
        <v>1</v>
      </c>
      <c r="H18" s="37">
        <v>1</v>
      </c>
      <c r="I18" s="37">
        <f>IF(I9&gt;0,0.95/(I9)^(1/7),1)</f>
        <v>1</v>
      </c>
      <c r="J18" s="37">
        <v>1</v>
      </c>
      <c r="K18" s="37">
        <v>1</v>
      </c>
      <c r="L18" s="38">
        <v>1</v>
      </c>
      <c r="M18" s="38">
        <v>1</v>
      </c>
      <c r="N18" s="175">
        <f t="shared" si="1"/>
        <v>0.97262660417813662</v>
      </c>
      <c r="O18" s="39">
        <f>ROUND(N18*O17/N17,-6)</f>
        <v>2122000000</v>
      </c>
      <c r="P18" s="174" t="str">
        <f>IF(AND(O18&lt;=(O$21+2*O$22),O18&gt;=(O$21-2*O$22)),"OK","Outlier")</f>
        <v>OK</v>
      </c>
    </row>
    <row r="19" spans="1:16" ht="21.75" x14ac:dyDescent="0.2">
      <c r="A19" s="317" t="s">
        <v>10</v>
      </c>
      <c r="B19" s="318"/>
      <c r="C19" s="176">
        <v>1</v>
      </c>
      <c r="D19" s="176">
        <v>1</v>
      </c>
      <c r="E19" s="176">
        <v>1</v>
      </c>
      <c r="F19" s="176">
        <v>1</v>
      </c>
      <c r="G19" s="176">
        <f>IF(G8&gt;1,0.95/(G8-1)^(1/7),1)</f>
        <v>1</v>
      </c>
      <c r="H19" s="176">
        <v>1</v>
      </c>
      <c r="I19" s="176">
        <f>IF(I8&gt;0,0.95/(I8)^(1/7),1)</f>
        <v>1</v>
      </c>
      <c r="J19" s="176">
        <v>1</v>
      </c>
      <c r="K19" s="176">
        <v>1</v>
      </c>
      <c r="L19" s="177">
        <v>1</v>
      </c>
      <c r="M19" s="177">
        <v>1</v>
      </c>
      <c r="N19" s="176">
        <f t="shared" si="1"/>
        <v>1</v>
      </c>
      <c r="O19" s="178">
        <f>O8</f>
        <v>1800000000</v>
      </c>
      <c r="P19" s="174"/>
    </row>
    <row r="20" spans="1:16" ht="22.5" thickBot="1" x14ac:dyDescent="0.25">
      <c r="A20" s="331" t="s">
        <v>349</v>
      </c>
      <c r="B20" s="332"/>
      <c r="C20" s="179">
        <f>((B9/C9)/(B8/C8))^(1/7)</f>
        <v>1.0713833651971729</v>
      </c>
      <c r="D20" s="179">
        <f>(D9/D8)^0.25</f>
        <v>0.95544279220436679</v>
      </c>
      <c r="E20" s="179">
        <f>(E8/E9)^0.2</f>
        <v>1.1138241786028791</v>
      </c>
      <c r="F20" s="179">
        <v>1</v>
      </c>
      <c r="G20" s="179">
        <f>IF(G9&gt;1,0.95/(G9-1)^(1/7),1)</f>
        <v>1</v>
      </c>
      <c r="H20" s="179">
        <v>1</v>
      </c>
      <c r="I20" s="179">
        <f>IF(I9&gt;0,0.95/(I9)^(1/7),1)</f>
        <v>1</v>
      </c>
      <c r="J20" s="179">
        <v>1</v>
      </c>
      <c r="K20" s="179">
        <v>1</v>
      </c>
      <c r="L20" s="180">
        <v>1</v>
      </c>
      <c r="M20" s="180">
        <v>1</v>
      </c>
      <c r="N20" s="181">
        <f t="shared" si="1"/>
        <v>1.1401611237729199</v>
      </c>
      <c r="O20" s="182">
        <f>ROUND(N20*O19/N19,-6)</f>
        <v>2052000000</v>
      </c>
      <c r="P20" s="174" t="str">
        <f>IF(AND(O20&lt;=(O$21+2*O$22),O20&gt;=(O$21-2*O$22)),"OK","Outlier")</f>
        <v>OK</v>
      </c>
    </row>
    <row r="21" spans="1:16" ht="24" x14ac:dyDescent="0.2">
      <c r="A21" s="7"/>
      <c r="B21" s="7"/>
      <c r="C21" s="183"/>
      <c r="D21" s="183"/>
      <c r="E21" s="183"/>
      <c r="F21" s="183"/>
      <c r="G21" s="183"/>
      <c r="H21" s="183"/>
      <c r="I21" s="183"/>
      <c r="J21" s="183"/>
      <c r="K21" s="183"/>
      <c r="L21" s="333" t="s">
        <v>424</v>
      </c>
      <c r="M21" s="333"/>
      <c r="N21" s="333"/>
      <c r="O21" s="105">
        <f>ROUND(AVERAGE(O16,O18,O20),-6)</f>
        <v>2109000000</v>
      </c>
    </row>
    <row r="22" spans="1:16" ht="24" x14ac:dyDescent="0.2">
      <c r="A22" s="7"/>
      <c r="B22" s="7"/>
      <c r="C22" s="183"/>
      <c r="D22" s="183"/>
      <c r="E22" s="183"/>
      <c r="F22" s="183"/>
      <c r="G22" s="183"/>
      <c r="H22" s="183"/>
      <c r="I22" s="183"/>
      <c r="J22" s="183"/>
      <c r="K22" s="183"/>
      <c r="L22" s="333" t="s">
        <v>379</v>
      </c>
      <c r="M22" s="333"/>
      <c r="N22" s="333"/>
      <c r="O22" s="105">
        <f>ROUND(_xlfn.STDEV.S(O16,O18,O20),-3)</f>
        <v>51316000</v>
      </c>
    </row>
    <row r="23" spans="1:16" ht="22.5" x14ac:dyDescent="0.2">
      <c r="A23" s="279" t="s">
        <v>417</v>
      </c>
      <c r="B23" s="279"/>
      <c r="C23" s="183"/>
      <c r="D23" s="183"/>
      <c r="E23" s="183"/>
      <c r="F23" s="183"/>
      <c r="G23" s="183"/>
      <c r="H23" s="183"/>
      <c r="I23" s="183"/>
      <c r="J23" s="183"/>
      <c r="K23" s="183"/>
      <c r="L23" s="184"/>
      <c r="M23" s="184"/>
      <c r="N23" s="183"/>
      <c r="O23" s="185"/>
    </row>
    <row r="24" spans="1:16" ht="21.75" x14ac:dyDescent="0.2">
      <c r="A24" s="293" t="s">
        <v>322</v>
      </c>
      <c r="B24" s="293"/>
      <c r="C24" s="315" t="s">
        <v>340</v>
      </c>
      <c r="D24" s="316" t="s">
        <v>341</v>
      </c>
      <c r="E24" s="316" t="s">
        <v>0</v>
      </c>
      <c r="F24" s="316" t="s">
        <v>342</v>
      </c>
      <c r="G24" s="316" t="s">
        <v>328</v>
      </c>
      <c r="H24" s="316"/>
      <c r="I24" s="316" t="s">
        <v>329</v>
      </c>
      <c r="J24" s="316"/>
      <c r="K24" s="316" t="s">
        <v>1</v>
      </c>
      <c r="L24" s="316" t="s">
        <v>343</v>
      </c>
      <c r="M24" s="316" t="s">
        <v>102</v>
      </c>
      <c r="N24" s="316" t="s">
        <v>2</v>
      </c>
      <c r="O24" s="315" t="s">
        <v>377</v>
      </c>
    </row>
    <row r="25" spans="1:16" ht="22.5" thickBot="1" x14ac:dyDescent="0.25">
      <c r="A25" s="320"/>
      <c r="B25" s="320"/>
      <c r="C25" s="321"/>
      <c r="D25" s="319"/>
      <c r="E25" s="319"/>
      <c r="F25" s="319"/>
      <c r="G25" s="57" t="s">
        <v>345</v>
      </c>
      <c r="H25" s="23" t="s">
        <v>346</v>
      </c>
      <c r="I25" s="57" t="s">
        <v>345</v>
      </c>
      <c r="J25" s="23" t="s">
        <v>346</v>
      </c>
      <c r="K25" s="319"/>
      <c r="L25" s="319"/>
      <c r="M25" s="319"/>
      <c r="N25" s="319"/>
      <c r="O25" s="315"/>
    </row>
    <row r="26" spans="1:16" ht="22.5" x14ac:dyDescent="0.2">
      <c r="A26" s="335" t="s">
        <v>351</v>
      </c>
      <c r="B26" s="336"/>
      <c r="C26" s="113">
        <v>1</v>
      </c>
      <c r="D26" s="113">
        <v>1</v>
      </c>
      <c r="E26" s="113">
        <v>1</v>
      </c>
      <c r="F26" s="113">
        <v>1</v>
      </c>
      <c r="G26" s="113">
        <f>IF(G9&gt;1,0.95/(G9-1)^(1/7),1)</f>
        <v>1</v>
      </c>
      <c r="H26" s="113">
        <v>1</v>
      </c>
      <c r="I26" s="113">
        <f>IF(I9&gt;0,0.95/(I9)^(1/7),1)</f>
        <v>1</v>
      </c>
      <c r="J26" s="113">
        <v>1</v>
      </c>
      <c r="K26" s="113">
        <v>1</v>
      </c>
      <c r="L26" s="114">
        <v>1</v>
      </c>
      <c r="M26" s="114">
        <v>1</v>
      </c>
      <c r="N26" s="113">
        <f t="shared" si="1"/>
        <v>1</v>
      </c>
      <c r="O26" s="115">
        <f>ROUND(AVERAGE(O16,O18,O20),-6)</f>
        <v>2109000000</v>
      </c>
    </row>
    <row r="27" spans="1:16" ht="23.25" thickBot="1" x14ac:dyDescent="0.25">
      <c r="A27" s="337" t="s">
        <v>338</v>
      </c>
      <c r="B27" s="338"/>
      <c r="C27" s="116">
        <f>((B10/C10)/(B9/C9))^(1/7)</f>
        <v>1.0800415364847447</v>
      </c>
      <c r="D27" s="116">
        <f>(D10/D9)^0.25</f>
        <v>1.0648443168030159</v>
      </c>
      <c r="E27" s="116">
        <f>(E9/E10)^0.2</f>
        <v>0.80021716722023561</v>
      </c>
      <c r="F27" s="116">
        <v>1</v>
      </c>
      <c r="G27" s="116">
        <f>IF(G10&gt;1,0.95/(G10-1)^(1/7),1)</f>
        <v>1</v>
      </c>
      <c r="H27" s="116">
        <v>1</v>
      </c>
      <c r="I27" s="116">
        <f>IF(I10&gt;0,0.95/(I10)^(1/7),1)</f>
        <v>1</v>
      </c>
      <c r="J27" s="116">
        <v>1</v>
      </c>
      <c r="K27" s="116">
        <v>1</v>
      </c>
      <c r="L27" s="120">
        <v>1.05</v>
      </c>
      <c r="M27" s="120">
        <v>1</v>
      </c>
      <c r="N27" s="186">
        <f t="shared" si="1"/>
        <v>0.9663261640804266</v>
      </c>
      <c r="O27" s="187">
        <f>ROUND(O26*N27/N26,-6)</f>
        <v>2038000000</v>
      </c>
    </row>
    <row r="28" spans="1:16" ht="22.5" x14ac:dyDescent="0.2">
      <c r="A28" s="52"/>
      <c r="B28" s="52"/>
      <c r="C28" s="183"/>
      <c r="D28" s="183"/>
      <c r="E28" s="183"/>
      <c r="F28" s="183"/>
      <c r="G28" s="183"/>
      <c r="H28" s="183"/>
      <c r="I28" s="183"/>
      <c r="J28" s="183"/>
      <c r="K28" s="183"/>
      <c r="L28" s="280" t="s">
        <v>421</v>
      </c>
      <c r="M28" s="280"/>
      <c r="N28" s="280"/>
      <c r="O28" s="231">
        <f>O27</f>
        <v>2038000000</v>
      </c>
    </row>
    <row r="29" spans="1:16" ht="22.5" x14ac:dyDescent="0.4">
      <c r="A29" s="1"/>
      <c r="B29" s="1"/>
      <c r="C29" s="1"/>
      <c r="D29" s="1"/>
      <c r="E29" s="1"/>
      <c r="F29" s="1"/>
      <c r="G29" s="1"/>
      <c r="H29" s="1"/>
      <c r="I29" s="1"/>
      <c r="J29" s="1"/>
      <c r="K29" s="1"/>
      <c r="L29" s="281" t="s">
        <v>420</v>
      </c>
      <c r="M29" s="281"/>
      <c r="N29" s="281"/>
      <c r="O29" s="209">
        <f>O28*E10</f>
        <v>130432000000</v>
      </c>
    </row>
    <row r="30" spans="1:16" ht="22.5" x14ac:dyDescent="0.55000000000000004">
      <c r="A30" s="339" t="s">
        <v>353</v>
      </c>
      <c r="B30" s="339"/>
      <c r="C30" s="339"/>
      <c r="D30" s="339"/>
      <c r="E30" s="339"/>
      <c r="F30" s="339"/>
      <c r="G30" s="339"/>
      <c r="H30" s="339"/>
      <c r="I30" s="339"/>
      <c r="J30" s="339"/>
      <c r="K30" s="340"/>
      <c r="L30" s="339" t="s">
        <v>105</v>
      </c>
      <c r="M30" s="339"/>
      <c r="N30" s="339"/>
      <c r="O30" s="189">
        <v>1</v>
      </c>
    </row>
    <row r="31" spans="1:16" ht="22.5" x14ac:dyDescent="0.55000000000000004">
      <c r="L31" s="334" t="s">
        <v>422</v>
      </c>
      <c r="M31" s="334"/>
      <c r="N31" s="334"/>
      <c r="O31" s="190">
        <f>O29*O30</f>
        <v>130432000000</v>
      </c>
    </row>
  </sheetData>
  <mergeCells count="57">
    <mergeCell ref="A12:B12"/>
    <mergeCell ref="A1:O1"/>
    <mergeCell ref="A3:O3"/>
    <mergeCell ref="A4:A5"/>
    <mergeCell ref="B4:B5"/>
    <mergeCell ref="C4:C5"/>
    <mergeCell ref="D4:D5"/>
    <mergeCell ref="E4:E5"/>
    <mergeCell ref="F4:F5"/>
    <mergeCell ref="G4:H4"/>
    <mergeCell ref="I4:J4"/>
    <mergeCell ref="K4:K5"/>
    <mergeCell ref="L4:L5"/>
    <mergeCell ref="M4:M5"/>
    <mergeCell ref="N4:N5"/>
    <mergeCell ref="O4:O5"/>
    <mergeCell ref="A19:B19"/>
    <mergeCell ref="I13:J13"/>
    <mergeCell ref="K13:K14"/>
    <mergeCell ref="L13:L14"/>
    <mergeCell ref="M13:M14"/>
    <mergeCell ref="A13:B14"/>
    <mergeCell ref="C13:C14"/>
    <mergeCell ref="D13:D14"/>
    <mergeCell ref="E13:E14"/>
    <mergeCell ref="F13:F14"/>
    <mergeCell ref="G13:H13"/>
    <mergeCell ref="P13:P14"/>
    <mergeCell ref="A15:B15"/>
    <mergeCell ref="A16:B16"/>
    <mergeCell ref="A17:B17"/>
    <mergeCell ref="A18:B18"/>
    <mergeCell ref="N13:N14"/>
    <mergeCell ref="O13:O14"/>
    <mergeCell ref="O24:O25"/>
    <mergeCell ref="A20:B20"/>
    <mergeCell ref="L21:N21"/>
    <mergeCell ref="L22:N22"/>
    <mergeCell ref="A23:B23"/>
    <mergeCell ref="A24:B25"/>
    <mergeCell ref="C24:C25"/>
    <mergeCell ref="D24:D25"/>
    <mergeCell ref="E24:E25"/>
    <mergeCell ref="F24:F25"/>
    <mergeCell ref="G24:H24"/>
    <mergeCell ref="L31:N31"/>
    <mergeCell ref="L28:N28"/>
    <mergeCell ref="I24:J24"/>
    <mergeCell ref="K24:K25"/>
    <mergeCell ref="L24:L25"/>
    <mergeCell ref="M24:M25"/>
    <mergeCell ref="N24:N25"/>
    <mergeCell ref="A26:B26"/>
    <mergeCell ref="A27:B27"/>
    <mergeCell ref="L29:N29"/>
    <mergeCell ref="A30:K30"/>
    <mergeCell ref="L30:N30"/>
  </mergeCells>
  <conditionalFormatting sqref="P15:P20">
    <cfRule type="containsText" dxfId="1" priority="1" operator="containsText" text="OK">
      <formula>NOT(ISERROR(SEARCH("OK",P15)))</formula>
    </cfRule>
  </conditionalFormatting>
  <pageMargins left="0.7" right="0.7" top="0.75" bottom="0.75" header="0.3" footer="0.3"/>
  <pageSetup paperSize="9" scale="36" orientation="portrait" r:id="rId1"/>
  <ignoredErrors>
    <ignoredError sqref="O19 O17"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11</vt:i4>
      </vt:variant>
    </vt:vector>
  </HeadingPairs>
  <TitlesOfParts>
    <vt:vector size="21" baseType="lpstr">
      <vt:lpstr>ارزیابی املاک</vt:lpstr>
      <vt:lpstr>محاسبه سهم العرصه</vt:lpstr>
      <vt:lpstr>ضرایب اراضی </vt:lpstr>
      <vt:lpstr>ارزیابی اراضی-1</vt:lpstr>
      <vt:lpstr>ارزیابی اراضی-2</vt:lpstr>
      <vt:lpstr>سهم واحدهای مجتمع تعاونی</vt:lpstr>
      <vt:lpstr>محاسبه اجرت المثل</vt:lpstr>
      <vt:lpstr>ارزیابی واحد تجاری</vt:lpstr>
      <vt:lpstr>ارزیابی سرقفلی</vt:lpstr>
      <vt:lpstr>ارزیابی جامع واحد تجاری</vt:lpstr>
      <vt:lpstr>'محاسبه سهم العرصه'!_ftn1</vt:lpstr>
      <vt:lpstr>'ارزیابی اراضی-1'!Print_Area</vt:lpstr>
      <vt:lpstr>'ارزیابی اراضی-2'!Print_Area</vt:lpstr>
      <vt:lpstr>'ارزیابی املاک'!Print_Area</vt:lpstr>
      <vt:lpstr>'ارزیابی جامع واحد تجاری'!Print_Area</vt:lpstr>
      <vt:lpstr>'ارزیابی سرقفلی'!Print_Area</vt:lpstr>
      <vt:lpstr>'ارزیابی واحد تجاری'!Print_Area</vt:lpstr>
      <vt:lpstr>'سهم واحدهای مجتمع تعاونی'!Print_Area</vt:lpstr>
      <vt:lpstr>'ضرایب اراضی '!Print_Area</vt:lpstr>
      <vt:lpstr>'محاسبه اجرت المثل'!Print_Area</vt:lpstr>
      <vt:lpstr>'محاسبه سهم العرصه'!Print_Area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hoseinian</dc:creator>
  <cp:lastModifiedBy>hp</cp:lastModifiedBy>
  <cp:lastPrinted>2024-09-08T07:27:46Z</cp:lastPrinted>
  <dcterms:created xsi:type="dcterms:W3CDTF">2014-03-04T14:12:14Z</dcterms:created>
  <dcterms:modified xsi:type="dcterms:W3CDTF">2024-09-08T08:42:01Z</dcterms:modified>
</cp:coreProperties>
</file>